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вересень" sheetId="1" r:id="rId1"/>
    <sheet name="серпень" sheetId="2" r:id="rId2"/>
    <sheet name="липень" sheetId="3" r:id="rId3"/>
    <sheet name="червень" sheetId="4" r:id="rId4"/>
    <sheet name="травень" sheetId="5" r:id="rId5"/>
    <sheet name="квітень" sheetId="6" r:id="rId6"/>
    <sheet name="березень" sheetId="7" r:id="rId7"/>
    <sheet name="лютий" sheetId="8" r:id="rId8"/>
    <sheet name="січень-2" sheetId="9" r:id="rId9"/>
    <sheet name="січень " sheetId="10" r:id="rId10"/>
  </sheets>
  <externalReferences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<sst xmlns="http://schemas.openxmlformats.org/spreadsheetml/2006/main" count="1478" uniqueCount="307">
  <si>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</si>
  <si>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</si>
  <si>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</si>
  <si>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</si>
  <si>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</si>
  <si>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</si>
  <si>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</si>
  <si>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</si>
  <si>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</si>
  <si>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</si>
  <si>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</si>
  <si>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</si>
  <si>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</si>
  <si>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</si>
  <si>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</si>
  <si>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</si>
  <si>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</si>
  <si>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</si>
  <si>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</si>
  <si>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</si>
  <si>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</si>
  <si>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</si>
  <si>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</si>
  <si>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</si>
  <si>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</si>
  <si>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</si>
  <si>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</si>
  <si>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</si>
  <si>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</si>
  <si>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</si>
  <si>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</si>
  <si>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</si>
  <si>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</si>
  <si>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</si>
  <si>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</si>
  <si>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</si>
  <si>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</si>
  <si>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</si>
  <si>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</si>
  <si>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</si>
  <si>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</si>
  <si>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</si>
  <si>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</si>
  <si>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</si>
  <si>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</si>
  <si>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</si>
  <si>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</si>
  <si>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</si>
  <si>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</si>
  <si>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</si>
  <si>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</si>
  <si>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</si>
  <si>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</si>
  <si>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</si>
  <si>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</si>
  <si>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</si>
  <si>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</si>
  <si>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</si>
  <si>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</si>
  <si>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</si>
  <si>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</si>
  <si>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</si>
  <si>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</si>
  <si>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</si>
  <si>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</si>
  <si>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</si>
  <si>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</si>
  <si>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</si>
  <si>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</si>
  <si>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</si>
  <si>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</si>
  <si>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</si>
  <si>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</si>
  <si>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</si>
  <si>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</si>
  <si>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</si>
  <si>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</si>
  <si>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</si>
  <si>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</si>
  <si>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</si>
  <si>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</si>
  <si>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</si>
  <si>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</si>
  <si>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</si>
  <si>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</si>
  <si>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</si>
  <si>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</si>
  <si>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</si>
  <si>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</si>
  <si>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</si>
  <si>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</si>
  <si>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</si>
  <si>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</si>
  <si>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</si>
  <si>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</si>
  <si>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</si>
  <si>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</si>
  <si>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</si>
  <si>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</si>
  <si>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</si>
  <si>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</si>
  <si>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</si>
  <si>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</si>
  <si>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</si>
  <si>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</si>
  <si>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</si>
  <si>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</si>
  <si>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</si>
  <si>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</si>
  <si>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</si>
  <si>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</si>
  <si>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</si>
  <si>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</si>
  <si>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</si>
  <si>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</si>
  <si>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</si>
  <si>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</si>
  <si>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</si>
  <si>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</si>
  <si>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</si>
  <si>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</si>
  <si>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</si>
  <si>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</si>
  <si>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</si>
  <si>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</si>
  <si>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</si>
  <si>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</si>
  <si>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</si>
  <si>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</si>
  <si>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</si>
  <si>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</si>
  <si>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</si>
  <si>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</si>
  <si>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</si>
  <si>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</si>
  <si>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</si>
  <si>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</si>
  <si>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</si>
  <si>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</si>
  <si>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</si>
  <si>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</si>
  <si>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</si>
  <si>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</si>
  <si>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</si>
  <si>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</si>
  <si>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</si>
  <si>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</si>
  <si>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</si>
  <si>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</si>
  <si>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</si>
  <si>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</si>
  <si>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</si>
  <si>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</si>
  <si>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</si>
  <si>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</si>
  <si>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</si>
  <si>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</si>
  <si>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</si>
  <si>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</si>
  <si>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</si>
  <si>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</si>
  <si>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</si>
  <si>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</si>
  <si>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</si>
  <si>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</si>
  <si>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</si>
  <si>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</si>
  <si>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</si>
  <si>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</si>
  <si>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</si>
  <si>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</si>
  <si>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</si>
  <si>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</si>
  <si>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</si>
  <si>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</si>
  <si>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</si>
  <si>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</si>
  <si>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</si>
  <si>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</si>
  <si>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</si>
  <si>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</si>
  <si>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</si>
  <si>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</si>
  <si>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</si>
  <si>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</si>
  <si>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</si>
  <si>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</si>
  <si>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</si>
  <si>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</si>
  <si>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</si>
  <si>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</si>
  <si>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</si>
  <si>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</si>
  <si>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</si>
  <si>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</si>
  <si>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</si>
  <si>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</si>
  <si>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</si>
  <si>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</si>
  <si>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</si>
  <si>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</si>
  <si>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</si>
  <si>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</si>
  <si>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</si>
  <si>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</si>
  <si>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</si>
  <si>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</si>
  <si>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</si>
  <si>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</si>
  <si>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</si>
  <si>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</si>
  <si>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</si>
  <si>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</si>
  <si>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</si>
  <si>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</si>
  <si>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</si>
  <si>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</si>
  <si>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</si>
  <si>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</si>
  <si>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</si>
  <si>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</si>
  <si>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</si>
  <si>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</si>
  <si>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</si>
  <si>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</si>
  <si>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</si>
  <si>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</si>
  <si>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</si>
  <si>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</si>
  <si>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</si>
  <si>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</si>
  <si>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</si>
  <si>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</si>
  <si>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</si>
  <si>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</si>
  <si>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</si>
  <si>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</si>
  <si>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</si>
  <si>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</si>
  <si>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</si>
  <si>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</si>
  <si>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</si>
  <si>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</si>
  <si>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</si>
  <si>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</si>
  <si>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</si>
  <si>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</si>
  <si>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</si>
  <si>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</si>
  <si>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</si>
  <si>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</si>
  <si>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</si>
  <si>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</si>
  <si>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</si>
  <si>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</si>
  <si>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</si>
  <si>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</si>
  <si>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</si>
  <si>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</si>
  <si>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</si>
  <si>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</si>
  <si>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</si>
  <si>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</si>
  <si>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</si>
  <si>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</si>
  <si>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</si>
  <si>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</si>
  <si>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</si>
  <si>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</si>
  <si>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</si>
  <si>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</si>
  <si>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</si>
  <si>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</si>
  <si>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</si>
  <si>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</si>
  <si>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</si>
  <si>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</si>
  <si>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</si>
  <si>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</si>
  <si>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</si>
  <si>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</si>
  <si>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</si>
  <si>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</si>
  <si>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</si>
  <si>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</si>
  <si>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</si>
  <si>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</si>
  <si>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</si>
  <si>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</si>
  <si>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</si>
  <si>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</si>
  <si>
    <t>Уточнений план  на січень-серпень</t>
  </si>
  <si>
    <t>Необхідно ще отримати до плану на січень-серпень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</si>
  <si>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</si>
  <si>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</si>
  <si>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>Динаміка  фактичних надходжень січень-серпень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</si>
  <si>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</si>
  <si>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31.08.15 </t>
    </r>
    <r>
      <rPr>
        <b/>
        <sz val="10"/>
        <rFont val="Times New Roman"/>
        <family val="1"/>
      </rPr>
      <t>включно</t>
    </r>
  </si>
  <si>
    <t>Уточнений план  на січень-вересень</t>
  </si>
  <si>
    <t>Необхідно ще отримати до плану на січень-вересень</t>
  </si>
  <si>
    <t>% виконання до плану на січень-вересень</t>
  </si>
  <si>
    <t>% виконання до плану на січень-серпень</t>
  </si>
  <si>
    <r>
      <t>Динаміка  фактичних надходжень січень-вересень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</si>
  <si>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</si>
  <si>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</si>
  <si>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07.09.2015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</si>
  <si>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04.09.15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</si>
</sst>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1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22" fillId="4" borderId="1" xfId="0" applyNumberFormat="1" applyFont="1" applyFill="1" applyBorder="1" applyAlignment="1" applyProtection="1">
      <alignment/>
      <protection/>
    </xf>
    <xf numFmtId="0" fontId="8" fillId="0" borderId="5" xfId="20" applyFont="1" applyBorder="1" applyProtection="1">
      <alignment/>
      <protection/>
    </xf>
    <xf numFmtId="174" fontId="8" fillId="0" borderId="0" xfId="20" applyNumberFormat="1" applyFont="1" applyBorder="1" applyAlignment="1" applyProtection="1">
      <alignment horizontal="right"/>
      <protection/>
    </xf>
    <xf numFmtId="174" fontId="8" fillId="0" borderId="0" xfId="20" applyNumberFormat="1" applyFont="1" applyFill="1" applyBorder="1" applyAlignment="1" applyProtection="1">
      <alignment horizontal="center"/>
      <protection/>
    </xf>
    <xf numFmtId="4" fontId="8" fillId="0" borderId="0" xfId="20" applyNumberFormat="1" applyFont="1" applyFill="1" applyBorder="1" applyAlignment="1" applyProtection="1">
      <alignment horizontal="right"/>
      <protection/>
    </xf>
    <xf numFmtId="174" fontId="40" fillId="0" borderId="1" xfId="0" applyNumberFormat="1" applyFont="1" applyBorder="1" applyAlignment="1" applyProtection="1">
      <alignment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14" fillId="0" borderId="0" xfId="20" applyNumberFormat="1" applyFont="1" applyAlignment="1" applyProtection="1">
      <alignment horizontal="center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88" sqref="D88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305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303</v>
      </c>
      <c r="N3" s="262" t="s">
        <v>304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298</v>
      </c>
      <c r="F4" s="245" t="s">
        <v>116</v>
      </c>
      <c r="G4" s="247" t="s">
        <v>299</v>
      </c>
      <c r="H4" s="249" t="s">
        <v>300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306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302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458752.5</v>
      </c>
      <c r="F8" s="18">
        <f>F9+F15+F18+F19+F20+F32+F17</f>
        <v>434491.2700000001</v>
      </c>
      <c r="G8" s="18">
        <f aca="true" t="shared" si="0" ref="G8:G54">F8-E8</f>
        <v>-24261.229999999923</v>
      </c>
      <c r="H8" s="45">
        <f>F8/E8*100</f>
        <v>94.7114773216495</v>
      </c>
      <c r="I8" s="31">
        <f aca="true" t="shared" si="1" ref="I8:I54">F8-D8</f>
        <v>-137797.72999999992</v>
      </c>
      <c r="J8" s="31">
        <f aca="true" t="shared" si="2" ref="J8:J14">F8/D8*100</f>
        <v>75.921653220663</v>
      </c>
      <c r="K8" s="18">
        <f>K9+K15+K18+K19+K20+K32</f>
        <v>111846.946</v>
      </c>
      <c r="L8" s="18"/>
      <c r="M8" s="18">
        <f>M9+M15+M18+M19+M20+M32+M17</f>
        <v>45676.399999999994</v>
      </c>
      <c r="N8" s="18">
        <f>N9+N15+N18+N19+N20+N32+N17</f>
        <v>4979.160000000031</v>
      </c>
      <c r="O8" s="31">
        <f aca="true" t="shared" si="3" ref="O8:O54">N8-M8</f>
        <v>-40697.23999999996</v>
      </c>
      <c r="P8" s="31">
        <f>F8/M8*100</f>
        <v>951.2379916105475</v>
      </c>
      <c r="Q8" s="31">
        <f>N8-33748.16</f>
        <v>-28768.99999999997</v>
      </c>
      <c r="R8" s="125">
        <f>N8/33748.16</f>
        <v>0.14753871025857498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248614.55</v>
      </c>
      <c r="F9" s="143">
        <v>237613.17</v>
      </c>
      <c r="G9" s="43">
        <f t="shared" si="0"/>
        <v>-11001.379999999976</v>
      </c>
      <c r="H9" s="35">
        <f aca="true" t="shared" si="4" ref="H9:H32">F9/E9*100</f>
        <v>95.5749251200302</v>
      </c>
      <c r="I9" s="50">
        <f t="shared" si="1"/>
        <v>-75076.82999999999</v>
      </c>
      <c r="J9" s="50">
        <f t="shared" si="2"/>
        <v>75.99001247241678</v>
      </c>
      <c r="K9" s="132">
        <f>F9-250278.43/75*60</f>
        <v>37390.42600000001</v>
      </c>
      <c r="L9" s="132">
        <f>F9/(250278.43/75*60)*100</f>
        <v>118.67441493060349</v>
      </c>
      <c r="M9" s="35">
        <f>E9-серпень!E9</f>
        <v>26089.899999999994</v>
      </c>
      <c r="N9" s="35">
        <f>F9-серпень!F9</f>
        <v>3902.1600000000035</v>
      </c>
      <c r="O9" s="47">
        <f t="shared" si="3"/>
        <v>-22187.73999999999</v>
      </c>
      <c r="P9" s="50">
        <f aca="true" t="shared" si="5" ref="P9:P32">N9/M9*100</f>
        <v>14.956592397824462</v>
      </c>
      <c r="Q9" s="132">
        <f>N9-26568.11</f>
        <v>-22665.949999999997</v>
      </c>
      <c r="R9" s="133">
        <f>N9/26568.11</f>
        <v>0.14687382730649653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218490.25</v>
      </c>
      <c r="F10" s="144">
        <v>210156.35</v>
      </c>
      <c r="G10" s="135">
        <f t="shared" si="0"/>
        <v>-8333.899999999994</v>
      </c>
      <c r="H10" s="137">
        <f t="shared" si="4"/>
        <v>96.18568791971268</v>
      </c>
      <c r="I10" s="136">
        <f t="shared" si="1"/>
        <v>-30253.649999999994</v>
      </c>
      <c r="J10" s="136">
        <f t="shared" si="2"/>
        <v>87.41581049041221</v>
      </c>
      <c r="K10" s="138">
        <f>F10-222647.03/75*60</f>
        <v>32038.726000000024</v>
      </c>
      <c r="L10" s="138">
        <f>F10/(222647.03/75*60)*100</f>
        <v>117.98739803535669</v>
      </c>
      <c r="M10" s="137">
        <f>E10-серпень!E10</f>
        <v>22490</v>
      </c>
      <c r="N10" s="137">
        <f>F10-серпень!F10</f>
        <v>3538.140000000014</v>
      </c>
      <c r="O10" s="138">
        <f t="shared" si="3"/>
        <v>-18951.859999999986</v>
      </c>
      <c r="P10" s="136">
        <f t="shared" si="5"/>
        <v>15.732058692752396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16787.9</v>
      </c>
      <c r="F11" s="144">
        <v>12409.66</v>
      </c>
      <c r="G11" s="135">
        <f t="shared" si="0"/>
        <v>-4378.240000000002</v>
      </c>
      <c r="H11" s="137">
        <f t="shared" si="4"/>
        <v>73.92026399966642</v>
      </c>
      <c r="I11" s="136">
        <f t="shared" si="1"/>
        <v>-11290.34</v>
      </c>
      <c r="J11" s="136">
        <f t="shared" si="2"/>
        <v>52.36143459915612</v>
      </c>
      <c r="K11" s="138">
        <f>F11-15880.56/75*60</f>
        <v>-294.78800000000047</v>
      </c>
      <c r="L11" s="138">
        <f>F11/(15880.56/75*60)*100</f>
        <v>97.67964731722306</v>
      </c>
      <c r="M11" s="137">
        <f>E11-серпень!E11</f>
        <v>2099.9000000000015</v>
      </c>
      <c r="N11" s="137">
        <f>F11-серпень!F11</f>
        <v>1.1000000000003638</v>
      </c>
      <c r="O11" s="138">
        <f t="shared" si="3"/>
        <v>-2098.800000000001</v>
      </c>
      <c r="P11" s="136">
        <f t="shared" si="5"/>
        <v>0.052383446830818754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3909</v>
      </c>
      <c r="F12" s="144">
        <v>3402.41</v>
      </c>
      <c r="G12" s="135">
        <f t="shared" si="0"/>
        <v>-506.59000000000015</v>
      </c>
      <c r="H12" s="137">
        <f t="shared" si="4"/>
        <v>87.04041954464057</v>
      </c>
      <c r="I12" s="136">
        <f t="shared" si="1"/>
        <v>-2397.59</v>
      </c>
      <c r="J12" s="136">
        <f t="shared" si="2"/>
        <v>58.662241379310345</v>
      </c>
      <c r="K12" s="138">
        <f>F12-4856.12/75*60</f>
        <v>-482.4859999999999</v>
      </c>
      <c r="L12" s="138">
        <f>F12/(4856.12*60)*100</f>
        <v>1.1677395396599204</v>
      </c>
      <c r="M12" s="137">
        <f>E12-серпень!E12</f>
        <v>660</v>
      </c>
      <c r="N12" s="137">
        <f>F12-серпень!F12</f>
        <v>71.04999999999973</v>
      </c>
      <c r="O12" s="138">
        <f t="shared" si="3"/>
        <v>-588.9500000000003</v>
      </c>
      <c r="P12" s="136">
        <f t="shared" si="5"/>
        <v>10.765151515151473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6223.4</v>
      </c>
      <c r="F13" s="144">
        <v>5053.44</v>
      </c>
      <c r="G13" s="135">
        <f t="shared" si="0"/>
        <v>-1169.96</v>
      </c>
      <c r="H13" s="137">
        <f t="shared" si="4"/>
        <v>81.20062988077257</v>
      </c>
      <c r="I13" s="136">
        <f t="shared" si="1"/>
        <v>-3346.5600000000004</v>
      </c>
      <c r="J13" s="136">
        <f t="shared" si="2"/>
        <v>60.15999999999999</v>
      </c>
      <c r="K13" s="138">
        <f>F13-6838.4/75*60</f>
        <v>-417.27999999999975</v>
      </c>
      <c r="L13" s="138">
        <f>F13/(6838.4/75*60)*100</f>
        <v>92.37248479176417</v>
      </c>
      <c r="M13" s="137">
        <f>E13-серпень!E13</f>
        <v>450</v>
      </c>
      <c r="N13" s="137">
        <f>F13-серпень!F13</f>
        <v>76.71000000000004</v>
      </c>
      <c r="O13" s="138">
        <f t="shared" si="3"/>
        <v>-373.28999999999996</v>
      </c>
      <c r="P13" s="136">
        <f t="shared" si="5"/>
        <v>17.046666666666674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3204</v>
      </c>
      <c r="F14" s="144">
        <v>6591.3</v>
      </c>
      <c r="G14" s="135">
        <f t="shared" si="0"/>
        <v>3387.3</v>
      </c>
      <c r="H14" s="137">
        <f t="shared" si="4"/>
        <v>205.72097378277152</v>
      </c>
      <c r="I14" s="136">
        <f t="shared" si="1"/>
        <v>2211.3</v>
      </c>
      <c r="J14" s="136">
        <f t="shared" si="2"/>
        <v>150.486301369863</v>
      </c>
      <c r="K14" s="138">
        <f>F14-56.31/75*60</f>
        <v>6546.252</v>
      </c>
      <c r="L14" s="138">
        <f>F14/(56.31/75*60)*100</f>
        <v>14631.726158763984</v>
      </c>
      <c r="M14" s="137">
        <f>E14-липень!E14</f>
        <v>780</v>
      </c>
      <c r="N14" s="137">
        <f>F14-серпень!F14</f>
        <v>215.15999999999985</v>
      </c>
      <c r="O14" s="138">
        <f t="shared" si="3"/>
        <v>-564.8400000000001</v>
      </c>
      <c r="P14" s="136">
        <f t="shared" si="5"/>
        <v>27.58461538461537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-734.58</v>
      </c>
      <c r="G15" s="43">
        <f t="shared" si="0"/>
        <v>-905.98</v>
      </c>
      <c r="H15" s="35"/>
      <c r="I15" s="50">
        <f t="shared" si="1"/>
        <v>-734.58</v>
      </c>
      <c r="J15" s="50" t="e">
        <f>F15/D15*100</f>
        <v>#DIV/0!</v>
      </c>
      <c r="K15" s="53">
        <f>F15-72.71</f>
        <v>-807.2900000000001</v>
      </c>
      <c r="L15" s="53">
        <f>F15/72.71*100</f>
        <v>-1010.2874432677762</v>
      </c>
      <c r="M15" s="35">
        <f>E15-серпень!E15</f>
        <v>0.09999999999999432</v>
      </c>
      <c r="N15" s="35">
        <f>F15-серпень!F15</f>
        <v>0</v>
      </c>
      <c r="O15" s="47">
        <f t="shared" si="3"/>
        <v>-0.09999999999999432</v>
      </c>
      <c r="P15" s="50"/>
      <c r="Q15" s="50">
        <f>N15-358.81</f>
        <v>-358.81</v>
      </c>
      <c r="R15" s="126">
        <f>N15/358.81</f>
        <v>0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-1233.81</v>
      </c>
      <c r="G16" s="135">
        <f t="shared" si="0"/>
        <v>-1233.81</v>
      </c>
      <c r="H16" s="137"/>
      <c r="I16" s="136">
        <f t="shared" si="1"/>
        <v>-1233.81</v>
      </c>
      <c r="J16" s="136"/>
      <c r="K16" s="138">
        <f>F16-573.12</f>
        <v>-1806.9299999999998</v>
      </c>
      <c r="L16" s="138">
        <f>F16/573.12*100</f>
        <v>-215.2795226130653</v>
      </c>
      <c r="M16" s="35">
        <f>E16-серпень!E16</f>
        <v>0</v>
      </c>
      <c r="N16" s="35">
        <f>F16-серпень!F16</f>
        <v>0</v>
      </c>
      <c r="O16" s="138">
        <f t="shared" si="3"/>
        <v>0</v>
      </c>
      <c r="P16" s="50"/>
      <c r="Q16" s="136">
        <f>N16-358.81</f>
        <v>-358.81</v>
      </c>
      <c r="R16" s="141">
        <f>N16/358.79</f>
        <v>0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E17-серпень!E17</f>
        <v>0</v>
      </c>
      <c r="N17" s="35">
        <f>F17-серпень!F17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E18-серпень!E18</f>
        <v>0</v>
      </c>
      <c r="N18" s="35">
        <f>F18-серпень!F18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50722.75</v>
      </c>
      <c r="F19" s="168">
        <v>43888.13</v>
      </c>
      <c r="G19" s="43">
        <f t="shared" si="0"/>
        <v>-6834.620000000003</v>
      </c>
      <c r="H19" s="35">
        <f t="shared" si="4"/>
        <v>86.5255334144935</v>
      </c>
      <c r="I19" s="50">
        <f t="shared" si="1"/>
        <v>-18321.870000000003</v>
      </c>
      <c r="J19" s="178">
        <f>F19/D19*100</f>
        <v>70.54835235492686</v>
      </c>
      <c r="K19" s="179">
        <f>F19-0</f>
        <v>43888.13</v>
      </c>
      <c r="L19" s="180"/>
      <c r="M19" s="35">
        <f>E19-серпень!E19</f>
        <v>6800</v>
      </c>
      <c r="N19" s="35">
        <f>F19-серпень!F19</f>
        <v>10.469999999993888</v>
      </c>
      <c r="O19" s="47">
        <f t="shared" si="3"/>
        <v>-6789.530000000006</v>
      </c>
      <c r="P19" s="50">
        <f t="shared" si="5"/>
        <v>0.15397058823520424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153478.4</v>
      </c>
      <c r="F20" s="169">
        <f>F21+F25+F27+F26</f>
        <v>148133.55000000002</v>
      </c>
      <c r="G20" s="43">
        <f t="shared" si="0"/>
        <v>-5344.849999999977</v>
      </c>
      <c r="H20" s="35">
        <f t="shared" si="4"/>
        <v>96.51752298694801</v>
      </c>
      <c r="I20" s="50">
        <f t="shared" si="1"/>
        <v>-41736.44999999998</v>
      </c>
      <c r="J20" s="178">
        <f aca="true" t="shared" si="6" ref="J20:J46">F20/D20*100</f>
        <v>78.01840733133197</v>
      </c>
      <c r="K20" s="178">
        <f>K21+K25+K26+K27</f>
        <v>33151.60000000001</v>
      </c>
      <c r="L20" s="136"/>
      <c r="M20" s="35">
        <f>E20-серпень!E20</f>
        <v>12786.100000000006</v>
      </c>
      <c r="N20" s="35">
        <f>F20-серпень!F20</f>
        <v>1065.3800000000338</v>
      </c>
      <c r="O20" s="47">
        <f t="shared" si="3"/>
        <v>-11720.719999999972</v>
      </c>
      <c r="P20" s="50">
        <f t="shared" si="5"/>
        <v>8.332329639217848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85900.4</v>
      </c>
      <c r="F21" s="169">
        <f>F22+F23+F24</f>
        <v>80257.13</v>
      </c>
      <c r="G21" s="43">
        <f t="shared" si="0"/>
        <v>-5643.2699999999895</v>
      </c>
      <c r="H21" s="35">
        <f t="shared" si="4"/>
        <v>93.43044968358704</v>
      </c>
      <c r="I21" s="50">
        <f t="shared" si="1"/>
        <v>-30042.869999999995</v>
      </c>
      <c r="J21" s="178">
        <f t="shared" si="6"/>
        <v>72.76258386219402</v>
      </c>
      <c r="K21" s="178">
        <f>K22+K23+K24</f>
        <v>25675.590000000007</v>
      </c>
      <c r="L21" s="136"/>
      <c r="M21" s="35">
        <f>E21-серпень!E21</f>
        <v>8720.099999999991</v>
      </c>
      <c r="N21" s="35">
        <f>F21-серпень!F21</f>
        <v>458.25</v>
      </c>
      <c r="O21" s="47">
        <f t="shared" si="3"/>
        <v>-8261.849999999991</v>
      </c>
      <c r="P21" s="50">
        <f t="shared" si="5"/>
        <v>5.255100285547189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8794.4</v>
      </c>
      <c r="F22" s="144">
        <v>8725.19</v>
      </c>
      <c r="G22" s="135">
        <f t="shared" si="0"/>
        <v>-69.20999999999913</v>
      </c>
      <c r="H22" s="137">
        <f t="shared" si="4"/>
        <v>99.21302192304195</v>
      </c>
      <c r="I22" s="136">
        <f t="shared" si="1"/>
        <v>-1974.8099999999995</v>
      </c>
      <c r="J22" s="136">
        <f t="shared" si="6"/>
        <v>81.54383177570094</v>
      </c>
      <c r="K22" s="136">
        <f>F22-288.8</f>
        <v>8436.390000000001</v>
      </c>
      <c r="L22" s="136">
        <f>F22/288.8*100</f>
        <v>3021.1876731301936</v>
      </c>
      <c r="M22" s="137">
        <f>E22-серпень!E22</f>
        <v>171.10000000000036</v>
      </c>
      <c r="N22" s="137">
        <f>F22-серпень!F22</f>
        <v>51.45000000000073</v>
      </c>
      <c r="O22" s="138">
        <f t="shared" si="3"/>
        <v>-119.64999999999964</v>
      </c>
      <c r="P22" s="136">
        <f t="shared" si="5"/>
        <v>30.070134424313625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1787</v>
      </c>
      <c r="F23" s="144">
        <v>3200.28</v>
      </c>
      <c r="G23" s="135">
        <f t="shared" si="0"/>
        <v>1413.2800000000002</v>
      </c>
      <c r="H23" s="137"/>
      <c r="I23" s="136">
        <f t="shared" si="1"/>
        <v>1100.2800000000002</v>
      </c>
      <c r="J23" s="136">
        <f t="shared" si="6"/>
        <v>152.39428571428573</v>
      </c>
      <c r="K23" s="136">
        <f>F23-0</f>
        <v>3200.28</v>
      </c>
      <c r="L23" s="136"/>
      <c r="M23" s="137">
        <f>E23-серпень!E23</f>
        <v>309</v>
      </c>
      <c r="N23" s="137">
        <f>F23-серпень!F23</f>
        <v>83.33000000000038</v>
      </c>
      <c r="O23" s="138">
        <f t="shared" si="3"/>
        <v>-225.66999999999962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75319</v>
      </c>
      <c r="F24" s="144">
        <v>68331.66</v>
      </c>
      <c r="G24" s="135">
        <f t="shared" si="0"/>
        <v>-6987.3399999999965</v>
      </c>
      <c r="H24" s="137">
        <f t="shared" si="4"/>
        <v>90.72300481950106</v>
      </c>
      <c r="I24" s="136">
        <f t="shared" si="1"/>
        <v>-29168.339999999997</v>
      </c>
      <c r="J24" s="136">
        <f t="shared" si="6"/>
        <v>70.08375384615385</v>
      </c>
      <c r="K24" s="224">
        <f>F24-54292.74</f>
        <v>14038.920000000006</v>
      </c>
      <c r="L24" s="224">
        <f>F24/54292.74*100</f>
        <v>125.85782187452688</v>
      </c>
      <c r="M24" s="137">
        <f>E24-серпень!E24</f>
        <v>8240</v>
      </c>
      <c r="N24" s="137">
        <f>F24-серпень!F24</f>
        <v>323.47000000000116</v>
      </c>
      <c r="O24" s="138">
        <f t="shared" si="3"/>
        <v>-7916.529999999999</v>
      </c>
      <c r="P24" s="136">
        <f t="shared" si="5"/>
        <v>3.9256067961165186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41.5</v>
      </c>
      <c r="F25" s="168">
        <v>48.85</v>
      </c>
      <c r="G25" s="43">
        <f t="shared" si="0"/>
        <v>7.350000000000001</v>
      </c>
      <c r="H25" s="35">
        <f t="shared" si="4"/>
        <v>117.71084337349397</v>
      </c>
      <c r="I25" s="50">
        <f t="shared" si="1"/>
        <v>-21.15</v>
      </c>
      <c r="J25" s="178">
        <f t="shared" si="6"/>
        <v>69.78571428571428</v>
      </c>
      <c r="K25" s="178">
        <f>F25-41.08</f>
        <v>7.770000000000003</v>
      </c>
      <c r="L25" s="178">
        <f>F25/41.08*100</f>
        <v>118.91431353456672</v>
      </c>
      <c r="M25" s="35">
        <f>E25-серпень!E25</f>
        <v>6</v>
      </c>
      <c r="N25" s="35">
        <f>F25-серпень!F25</f>
        <v>0</v>
      </c>
      <c r="O25" s="47">
        <f t="shared" si="3"/>
        <v>-6</v>
      </c>
      <c r="P25" s="50">
        <f t="shared" si="5"/>
        <v>0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-636.12</v>
      </c>
      <c r="G26" s="43">
        <f t="shared" si="0"/>
        <v>-636.12</v>
      </c>
      <c r="H26" s="35"/>
      <c r="I26" s="50">
        <f t="shared" si="1"/>
        <v>-636.12</v>
      </c>
      <c r="J26" s="136"/>
      <c r="K26" s="178">
        <f>F26-4244.7</f>
        <v>-4880.82</v>
      </c>
      <c r="L26" s="178">
        <f>F26/4244.7*100</f>
        <v>-14.986218107286733</v>
      </c>
      <c r="M26" s="35">
        <f>E26-серпень!E26</f>
        <v>0</v>
      </c>
      <c r="N26" s="35">
        <f>F26-серпень!F26</f>
        <v>-21.549999999999955</v>
      </c>
      <c r="O26" s="47">
        <f t="shared" si="3"/>
        <v>-21.549999999999955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67536.5</v>
      </c>
      <c r="F27" s="168">
        <v>68463.69</v>
      </c>
      <c r="G27" s="43">
        <f t="shared" si="0"/>
        <v>927.1900000000023</v>
      </c>
      <c r="H27" s="35">
        <f t="shared" si="4"/>
        <v>101.37287244675102</v>
      </c>
      <c r="I27" s="50">
        <f t="shared" si="1"/>
        <v>-11036.309999999998</v>
      </c>
      <c r="J27" s="178">
        <f t="shared" si="6"/>
        <v>86.11784905660377</v>
      </c>
      <c r="K27" s="132">
        <f>F27-56114.63</f>
        <v>12349.060000000005</v>
      </c>
      <c r="L27" s="132">
        <f>F27/56114.63*100</f>
        <v>122.00684563009683</v>
      </c>
      <c r="M27" s="35">
        <f>E27-серпень!E27</f>
        <v>4060</v>
      </c>
      <c r="N27" s="35">
        <f>F27-серпень!F27</f>
        <v>628.6800000000076</v>
      </c>
      <c r="O27" s="47">
        <f t="shared" si="3"/>
        <v>-3431.3199999999924</v>
      </c>
      <c r="P27" s="50">
        <f t="shared" si="5"/>
        <v>15.484729064039596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137">
        <f>E28-серпень!E28</f>
        <v>0</v>
      </c>
      <c r="N28" s="137">
        <f>F28-серпень!F28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v>16780</v>
      </c>
      <c r="F29" s="144">
        <v>17066.99</v>
      </c>
      <c r="G29" s="135">
        <f t="shared" si="0"/>
        <v>286.9900000000016</v>
      </c>
      <c r="H29" s="137">
        <f t="shared" si="4"/>
        <v>101.71030989272944</v>
      </c>
      <c r="I29" s="136">
        <f t="shared" si="1"/>
        <v>-2133.0099999999984</v>
      </c>
      <c r="J29" s="136">
        <f t="shared" si="6"/>
        <v>88.89057291666667</v>
      </c>
      <c r="K29" s="139">
        <f>F29-15615.32</f>
        <v>1451.670000000002</v>
      </c>
      <c r="L29" s="139">
        <f>F29/15615.32*100</f>
        <v>109.29644733505302</v>
      </c>
      <c r="M29" s="137">
        <f>E29-серпень!E29</f>
        <v>1200</v>
      </c>
      <c r="N29" s="137">
        <f>F29-серпень!F29</f>
        <v>135.65999999999985</v>
      </c>
      <c r="O29" s="138">
        <f t="shared" si="3"/>
        <v>-1064.3400000000001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v>50756.5</v>
      </c>
      <c r="F30" s="144">
        <v>51381.09</v>
      </c>
      <c r="G30" s="135">
        <f t="shared" si="0"/>
        <v>624.5899999999965</v>
      </c>
      <c r="H30" s="137">
        <f t="shared" si="4"/>
        <v>101.23056160294739</v>
      </c>
      <c r="I30" s="136">
        <f t="shared" si="1"/>
        <v>-8918.910000000003</v>
      </c>
      <c r="J30" s="136">
        <f t="shared" si="6"/>
        <v>85.20910447761193</v>
      </c>
      <c r="K30" s="139">
        <f>F30-40498.93</f>
        <v>10882.159999999996</v>
      </c>
      <c r="L30" s="139">
        <f>F30/40498.93*100</f>
        <v>126.87024076932403</v>
      </c>
      <c r="M30" s="137">
        <f>E30-серпень!E30</f>
        <v>2860</v>
      </c>
      <c r="N30" s="137">
        <f>F30-серпень!F30</f>
        <v>493.0199999999968</v>
      </c>
      <c r="O30" s="138">
        <f t="shared" si="3"/>
        <v>-2366.980000000003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 t="shared" si="0"/>
        <v>16.81</v>
      </c>
      <c r="H31" s="137"/>
      <c r="I31" s="136">
        <f t="shared" si="1"/>
        <v>16.81</v>
      </c>
      <c r="J31" s="136"/>
      <c r="K31" s="139">
        <f>F31-0</f>
        <v>16.81</v>
      </c>
      <c r="L31" s="139"/>
      <c r="M31" s="137">
        <f>E31-серпень!E31</f>
        <v>0</v>
      </c>
      <c r="N31" s="137">
        <f>F31-серпень!F31</f>
        <v>0</v>
      </c>
      <c r="O31" s="138">
        <f t="shared" si="3"/>
        <v>0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5752.4</v>
      </c>
      <c r="F32" s="168">
        <v>5575.11</v>
      </c>
      <c r="G32" s="43">
        <f t="shared" si="0"/>
        <v>-177.28999999999996</v>
      </c>
      <c r="H32" s="35">
        <f t="shared" si="4"/>
        <v>96.91798205966205</v>
      </c>
      <c r="I32" s="50">
        <f t="shared" si="1"/>
        <v>-1924.8900000000003</v>
      </c>
      <c r="J32" s="178">
        <f t="shared" si="6"/>
        <v>74.3348</v>
      </c>
      <c r="K32" s="178">
        <f>F32-7363.52</f>
        <v>-1788.4100000000008</v>
      </c>
      <c r="L32" s="178">
        <f>F32/5308.17*100</f>
        <v>105.02885175116847</v>
      </c>
      <c r="M32" s="35">
        <f>E32-серпень!E32</f>
        <v>0.2999999999992724</v>
      </c>
      <c r="N32" s="35">
        <f>F32-серпень!F32</f>
        <v>1.1499999999996362</v>
      </c>
      <c r="O32" s="47">
        <f t="shared" si="3"/>
        <v>0.8500000000003638</v>
      </c>
      <c r="P32" s="50">
        <f t="shared" si="5"/>
        <v>383.33333333414174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22950</v>
      </c>
      <c r="F33" s="18">
        <f>F34+F35+F36+F37+F38+F41+F42+F47+F48+F52+F40+F39</f>
        <v>26789.489999999998</v>
      </c>
      <c r="G33" s="44">
        <f t="shared" si="0"/>
        <v>3839.489999999998</v>
      </c>
      <c r="H33" s="45">
        <f>F33/E33*100</f>
        <v>116.72980392156862</v>
      </c>
      <c r="I33" s="31">
        <f t="shared" si="1"/>
        <v>-1917.6100000000006</v>
      </c>
      <c r="J33" s="31">
        <f t="shared" si="6"/>
        <v>93.32008457837956</v>
      </c>
      <c r="K33" s="18">
        <f>K34+K35+K36+K37+K38+K41+K42+K47+K48+K52+K40</f>
        <v>18181</v>
      </c>
      <c r="L33" s="18"/>
      <c r="M33" s="18">
        <f>M34+M35+M36+M37+M38+M41+M42+M47+M48+M52+M40+M39</f>
        <v>2859.8</v>
      </c>
      <c r="N33" s="18">
        <f>N34+N35+N36+N37+N38+N41+N42+N47+N48+N52+N40+N39</f>
        <v>5182.139999999999</v>
      </c>
      <c r="O33" s="49">
        <f t="shared" si="3"/>
        <v>2322.3399999999992</v>
      </c>
      <c r="P33" s="31">
        <f>N33/M33*100</f>
        <v>181.20637806839636</v>
      </c>
      <c r="Q33" s="31">
        <f>N33-1017.63</f>
        <v>4164.509999999999</v>
      </c>
      <c r="R33" s="127">
        <f>N33/1017.63</f>
        <v>5.092361663866041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E34-серпень!E34</f>
        <v>0</v>
      </c>
      <c r="N34" s="35">
        <f>F34-серпень!F34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450</v>
      </c>
      <c r="F35" s="143">
        <v>4154.01</v>
      </c>
      <c r="G35" s="43">
        <f t="shared" si="0"/>
        <v>3704.01</v>
      </c>
      <c r="H35" s="35"/>
      <c r="I35" s="50">
        <f t="shared" si="1"/>
        <v>3154.01</v>
      </c>
      <c r="J35" s="50"/>
      <c r="K35" s="50">
        <f>F35-0</f>
        <v>4154.01</v>
      </c>
      <c r="L35" s="50" t="e">
        <f>F35/0*100</f>
        <v>#DIV/0!</v>
      </c>
      <c r="M35" s="35">
        <f>E35-серпень!E35</f>
        <v>250</v>
      </c>
      <c r="N35" s="35">
        <f>F35-серпень!F35</f>
        <v>3952.6400000000003</v>
      </c>
      <c r="O35" s="47">
        <f t="shared" si="3"/>
        <v>3702.6400000000003</v>
      </c>
      <c r="P35" s="50"/>
      <c r="Q35" s="50">
        <f>N35-0</f>
        <v>3952.6400000000003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309.82</v>
      </c>
      <c r="G36" s="43">
        <f t="shared" si="0"/>
        <v>69.82</v>
      </c>
      <c r="H36" s="35"/>
      <c r="I36" s="50">
        <f t="shared" si="1"/>
        <v>69.82</v>
      </c>
      <c r="J36" s="50"/>
      <c r="K36" s="50">
        <f>F36-255.77</f>
        <v>54.04999999999998</v>
      </c>
      <c r="L36" s="50">
        <f>F36/255.77*100</f>
        <v>121.13226727137662</v>
      </c>
      <c r="M36" s="35">
        <f>E36-серпень!E36</f>
        <v>0</v>
      </c>
      <c r="N36" s="35">
        <f>F36-серпень!F36</f>
        <v>2.6200000000000045</v>
      </c>
      <c r="O36" s="47">
        <f t="shared" si="3"/>
        <v>2.6200000000000045</v>
      </c>
      <c r="P36" s="50"/>
      <c r="Q36" s="50">
        <f>N36-4.23</f>
        <v>-1.6099999999999959</v>
      </c>
      <c r="R36" s="126">
        <f>N36/4.23</f>
        <v>0.6193853427895991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</v>
      </c>
      <c r="F37" s="143">
        <v>0</v>
      </c>
      <c r="G37" s="43">
        <f t="shared" si="0"/>
        <v>-4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E37-серпень!E37</f>
        <v>0.5</v>
      </c>
      <c r="N37" s="35">
        <f>F37-серпень!F37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105</v>
      </c>
      <c r="F38" s="143">
        <v>104.08</v>
      </c>
      <c r="G38" s="43">
        <f t="shared" si="0"/>
        <v>-0.9200000000000017</v>
      </c>
      <c r="H38" s="35">
        <f>F38/E38*100</f>
        <v>99.12380952380953</v>
      </c>
      <c r="I38" s="50">
        <f t="shared" si="1"/>
        <v>-35.92</v>
      </c>
      <c r="J38" s="50">
        <f t="shared" si="6"/>
        <v>74.34285714285714</v>
      </c>
      <c r="K38" s="50">
        <f>F38-82.36</f>
        <v>21.72</v>
      </c>
      <c r="L38" s="50">
        <f>F38/82.36*100</f>
        <v>126.37202525497815</v>
      </c>
      <c r="M38" s="35">
        <f>E38-серпень!E38</f>
        <v>15</v>
      </c>
      <c r="N38" s="35">
        <f>F38-серпень!F38</f>
        <v>0.01999999999999602</v>
      </c>
      <c r="O38" s="47">
        <f t="shared" si="3"/>
        <v>-14.980000000000004</v>
      </c>
      <c r="P38" s="50">
        <f>N38/M38*100</f>
        <v>0.1333333333333068</v>
      </c>
      <c r="Q38" s="50">
        <f>N38-9.02</f>
        <v>-9.000000000000004</v>
      </c>
      <c r="R38" s="126">
        <f>N38/9.02</f>
        <v>0.0022172949002212884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E39-серпень!E39</f>
        <v>0</v>
      </c>
      <c r="N39" s="35">
        <f>F39-серпень!F39</f>
        <v>0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7937</v>
      </c>
      <c r="F40" s="143">
        <v>6936.44</v>
      </c>
      <c r="G40" s="43"/>
      <c r="H40" s="35"/>
      <c r="I40" s="50">
        <f t="shared" si="1"/>
        <v>-2063.5600000000004</v>
      </c>
      <c r="J40" s="50"/>
      <c r="K40" s="50">
        <f>F40-0</f>
        <v>6936.44</v>
      </c>
      <c r="L40" s="50"/>
      <c r="M40" s="35">
        <f>E40-серпень!E40</f>
        <v>1000</v>
      </c>
      <c r="N40" s="35">
        <f>F40-серпень!F40</f>
        <v>164.38999999999942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5220</v>
      </c>
      <c r="F41" s="143">
        <v>6785.06</v>
      </c>
      <c r="G41" s="43">
        <f t="shared" si="0"/>
        <v>1565.0600000000004</v>
      </c>
      <c r="H41" s="35">
        <f>F41/E41*100</f>
        <v>129.98199233716477</v>
      </c>
      <c r="I41" s="50">
        <f t="shared" si="1"/>
        <v>-114.9399999999996</v>
      </c>
      <c r="J41" s="50">
        <f t="shared" si="6"/>
        <v>98.33420289855073</v>
      </c>
      <c r="K41" s="50">
        <f>F41-4735.68</f>
        <v>2049.38</v>
      </c>
      <c r="L41" s="50">
        <f>F41/4735.68*100</f>
        <v>143.27530576390296</v>
      </c>
      <c r="M41" s="35">
        <f>E41-серпень!E41</f>
        <v>600</v>
      </c>
      <c r="N41" s="35">
        <f>F41-серпень!F41</f>
        <v>920.21</v>
      </c>
      <c r="O41" s="47">
        <f t="shared" si="3"/>
        <v>320.21000000000004</v>
      </c>
      <c r="P41" s="50">
        <f>N41/M41*100</f>
        <v>153.36833333333334</v>
      </c>
      <c r="Q41" s="50">
        <f>N41-647.49</f>
        <v>272.72</v>
      </c>
      <c r="R41" s="126">
        <f>N41/647.49</f>
        <v>1.4211956941419945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5799</v>
      </c>
      <c r="F42" s="143">
        <v>5311.54</v>
      </c>
      <c r="G42" s="43">
        <f t="shared" si="0"/>
        <v>-487.46000000000004</v>
      </c>
      <c r="H42" s="35">
        <f>F42/E42*100</f>
        <v>91.59406794274875</v>
      </c>
      <c r="I42" s="50">
        <f t="shared" si="1"/>
        <v>-1788.46</v>
      </c>
      <c r="J42" s="50">
        <f t="shared" si="6"/>
        <v>74.81042253521126</v>
      </c>
      <c r="K42" s="50">
        <f>F42-685.66</f>
        <v>4625.88</v>
      </c>
      <c r="L42" s="50">
        <f>F42/685.66*100</f>
        <v>774.6609106554268</v>
      </c>
      <c r="M42" s="35">
        <f>E42-серпень!E42</f>
        <v>604.3000000000002</v>
      </c>
      <c r="N42" s="35">
        <f>F42-серпень!F42</f>
        <v>90.10999999999967</v>
      </c>
      <c r="O42" s="47">
        <f t="shared" si="3"/>
        <v>-514.1900000000005</v>
      </c>
      <c r="P42" s="50">
        <f>N42/M42*100</f>
        <v>14.911467813999609</v>
      </c>
      <c r="Q42" s="50">
        <f>N42-79.51</f>
        <v>10.599999999999667</v>
      </c>
      <c r="R42" s="126">
        <f>N42/79.51</f>
        <v>1.1333165639542153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v>840</v>
      </c>
      <c r="F43" s="144">
        <v>748.03</v>
      </c>
      <c r="G43" s="135">
        <f t="shared" si="0"/>
        <v>-91.97000000000003</v>
      </c>
      <c r="H43" s="137">
        <f>F43/E43*100</f>
        <v>89.05119047619048</v>
      </c>
      <c r="I43" s="136">
        <f t="shared" si="1"/>
        <v>-351.97</v>
      </c>
      <c r="J43" s="136">
        <f t="shared" si="6"/>
        <v>68.00272727272727</v>
      </c>
      <c r="K43" s="136">
        <f>F43-605.31</f>
        <v>142.72000000000003</v>
      </c>
      <c r="L43" s="136">
        <f>F43/605.31*100</f>
        <v>123.57800135467778</v>
      </c>
      <c r="M43" s="35">
        <f>E43-серпень!E43</f>
        <v>80</v>
      </c>
      <c r="N43" s="35">
        <f>F43-серпень!F43</f>
        <v>12.899999999999977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v>60</v>
      </c>
      <c r="F44" s="144">
        <v>45.48</v>
      </c>
      <c r="G44" s="135">
        <f t="shared" si="0"/>
        <v>-14.520000000000003</v>
      </c>
      <c r="H44" s="137"/>
      <c r="I44" s="136">
        <f t="shared" si="1"/>
        <v>-34.52</v>
      </c>
      <c r="J44" s="136"/>
      <c r="K44" s="136">
        <f>F44-0</f>
        <v>45.48</v>
      </c>
      <c r="L44" s="136"/>
      <c r="M44" s="35">
        <f>E44-серпень!E44</f>
        <v>10</v>
      </c>
      <c r="N44" s="35">
        <f>F44-серпень!F44</f>
        <v>0.02999999999999403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v>1</v>
      </c>
      <c r="F45" s="144">
        <v>0.75</v>
      </c>
      <c r="G45" s="135">
        <f t="shared" si="0"/>
        <v>-0.25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E45-серпень!E45</f>
        <v>0.30000000000000004</v>
      </c>
      <c r="N45" s="35">
        <f>F45-серпень!F45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v>4898</v>
      </c>
      <c r="F46" s="144">
        <v>4517.28</v>
      </c>
      <c r="G46" s="135">
        <f t="shared" si="0"/>
        <v>-380.72000000000025</v>
      </c>
      <c r="H46" s="137">
        <f>F46/E46*100</f>
        <v>92.22703144140465</v>
      </c>
      <c r="I46" s="136">
        <f t="shared" si="1"/>
        <v>-1400.7200000000003</v>
      </c>
      <c r="J46" s="136">
        <f t="shared" si="6"/>
        <v>76.33119297059817</v>
      </c>
      <c r="K46" s="136">
        <f>F46-80.35</f>
        <v>4436.929999999999</v>
      </c>
      <c r="L46" s="136">
        <f>F46/80.35*100</f>
        <v>5622.003733665215</v>
      </c>
      <c r="M46" s="35">
        <f>E46-серпень!E46</f>
        <v>514</v>
      </c>
      <c r="N46" s="35">
        <f>F46-серпень!F46</f>
        <v>77.17000000000007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E47-серпень!E47</f>
        <v>0</v>
      </c>
      <c r="N47" s="35">
        <f>F47-серпень!F47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3090</v>
      </c>
      <c r="F48" s="143">
        <v>3244.8</v>
      </c>
      <c r="G48" s="43">
        <f t="shared" si="0"/>
        <v>154.80000000000018</v>
      </c>
      <c r="H48" s="35">
        <f>F48/E48*100</f>
        <v>105.00970873786409</v>
      </c>
      <c r="I48" s="50">
        <f t="shared" si="1"/>
        <v>-955.1999999999998</v>
      </c>
      <c r="J48" s="50">
        <f>F48/D48*100</f>
        <v>77.25714285714285</v>
      </c>
      <c r="K48" s="50">
        <f>F48-2702.66</f>
        <v>542.1400000000003</v>
      </c>
      <c r="L48" s="50">
        <f>F48/2702.66*100</f>
        <v>120.05949694005167</v>
      </c>
      <c r="M48" s="35">
        <f>E48-серпень!E48</f>
        <v>390</v>
      </c>
      <c r="N48" s="35">
        <f>F48-серпень!F48</f>
        <v>52.15000000000009</v>
      </c>
      <c r="O48" s="47">
        <f t="shared" si="3"/>
        <v>-337.8499999999999</v>
      </c>
      <c r="P48" s="50">
        <f aca="true" t="shared" si="7" ref="P48:P53">N48/M48*100</f>
        <v>13.371794871794895</v>
      </c>
      <c r="Q48" s="50">
        <f>N48-277.38</f>
        <v>-225.2299999999999</v>
      </c>
      <c r="R48" s="126">
        <f>N48/277.38</f>
        <v>0.18800922921623797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E49-серпень!E49</f>
        <v>0</v>
      </c>
      <c r="N49" s="35">
        <f>F49-серпень!F49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E50-серпень!E50</f>
        <v>0</v>
      </c>
      <c r="N50" s="35">
        <f>F50-серпень!F50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901.7</v>
      </c>
      <c r="G51" s="135">
        <f t="shared" si="0"/>
        <v>901.7</v>
      </c>
      <c r="H51" s="137"/>
      <c r="I51" s="136">
        <f t="shared" si="1"/>
        <v>901.7</v>
      </c>
      <c r="J51" s="136"/>
      <c r="K51" s="219">
        <f>F51-635.8</f>
        <v>265.9000000000001</v>
      </c>
      <c r="L51" s="219">
        <f>F51/635.8*100</f>
        <v>141.8213274614659</v>
      </c>
      <c r="M51" s="35">
        <f>E51-серпень!E51</f>
        <v>0</v>
      </c>
      <c r="N51" s="35">
        <f>F51-серпень!F51</f>
        <v>11.100000000000023</v>
      </c>
      <c r="O51" s="138">
        <f t="shared" si="3"/>
        <v>11.100000000000023</v>
      </c>
      <c r="P51" s="136"/>
      <c r="Q51" s="50">
        <f>N51-64.93</f>
        <v>-53.829999999999984</v>
      </c>
      <c r="R51" s="126">
        <f>N51/64.93</f>
        <v>0.17095333436008042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E52-серпень!E52</f>
        <v>0</v>
      </c>
      <c r="N52" s="35">
        <f>F52-серпень!F52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19.4</v>
      </c>
      <c r="F53" s="143">
        <v>14.42</v>
      </c>
      <c r="G53" s="43">
        <f t="shared" si="0"/>
        <v>-4.979999999999999</v>
      </c>
      <c r="H53" s="35">
        <f>F53/E53*100</f>
        <v>74.3298969072165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E53-серпень!E53</f>
        <v>2.1999999999999993</v>
      </c>
      <c r="N53" s="35">
        <f>F53-серпень!F53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E54-серпень!E54</f>
        <v>0</v>
      </c>
      <c r="N54" s="35">
        <f>F54-серпень!F54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481721.9</v>
      </c>
      <c r="F55" s="18">
        <f>F8+F33+F53+F54</f>
        <v>461295.49000000005</v>
      </c>
      <c r="G55" s="44">
        <f>F55-E55</f>
        <v>-20426.409999999974</v>
      </c>
      <c r="H55" s="45">
        <f>F55/E55*100</f>
        <v>95.75970907695914</v>
      </c>
      <c r="I55" s="31">
        <f>F55-D55</f>
        <v>-139727.10999999993</v>
      </c>
      <c r="J55" s="31">
        <f>F55/D55*100</f>
        <v>76.75177106484848</v>
      </c>
      <c r="K55" s="31">
        <f>K8+K33+K53+K54</f>
        <v>130025.076</v>
      </c>
      <c r="L55" s="31">
        <f>F55/(F55-K55)*100</f>
        <v>139.25043423889946</v>
      </c>
      <c r="M55" s="18">
        <f>M8+M33+M53+M54</f>
        <v>48538.399999999994</v>
      </c>
      <c r="N55" s="18">
        <f>N8+N33+N53+N54</f>
        <v>10161.30000000003</v>
      </c>
      <c r="O55" s="49">
        <f>N55-M55</f>
        <v>-38377.09999999996</v>
      </c>
      <c r="P55" s="31">
        <f>N55/M55*100</f>
        <v>20.934559029551924</v>
      </c>
      <c r="Q55" s="31">
        <f>N55-34768</f>
        <v>-24606.699999999968</v>
      </c>
      <c r="R55" s="171">
        <f>N55/34768</f>
        <v>0.2922601242521868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F60-серпень!F60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-51.7</v>
      </c>
      <c r="G61" s="43">
        <f aca="true" t="shared" si="8" ref="G61:G68">F61-E61</f>
        <v>-51.7</v>
      </c>
      <c r="H61" s="35"/>
      <c r="I61" s="53">
        <f aca="true" t="shared" si="9" ref="I61:I68">F61-D61</f>
        <v>-51.7</v>
      </c>
      <c r="J61" s="53"/>
      <c r="K61" s="47">
        <f>F61-207.32</f>
        <v>-259.02</v>
      </c>
      <c r="L61" s="53"/>
      <c r="M61" s="35">
        <v>0</v>
      </c>
      <c r="N61" s="36">
        <f>F61-липень!F61</f>
        <v>-2.510000000000005</v>
      </c>
      <c r="O61" s="47">
        <f aca="true" t="shared" si="10" ref="O61:O68">N61-M61</f>
        <v>-2.510000000000005</v>
      </c>
      <c r="P61" s="53"/>
      <c r="Q61" s="53">
        <f>N61-24.53</f>
        <v>-27.040000000000006</v>
      </c>
      <c r="R61" s="129">
        <f>N61/24.53</f>
        <v>-0.10232368528332675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-51.7</v>
      </c>
      <c r="G62" s="55">
        <f t="shared" si="8"/>
        <v>-51.7</v>
      </c>
      <c r="H62" s="65"/>
      <c r="I62" s="54">
        <f t="shared" si="9"/>
        <v>-51.7</v>
      </c>
      <c r="J62" s="54"/>
      <c r="K62" s="54">
        <f>K60+K61</f>
        <v>-258.06</v>
      </c>
      <c r="L62" s="54"/>
      <c r="M62" s="55">
        <f>M61</f>
        <v>0</v>
      </c>
      <c r="N62" s="33">
        <f>SUM(N60:N61)</f>
        <v>-2.510000000000005</v>
      </c>
      <c r="O62" s="54">
        <f t="shared" si="10"/>
        <v>-2.510000000000005</v>
      </c>
      <c r="P62" s="54"/>
      <c r="Q62" s="54">
        <f>N62-92.85</f>
        <v>-95.36</v>
      </c>
      <c r="R62" s="130">
        <f>N62/92.85</f>
        <v>-0.0270328486806678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593.04</v>
      </c>
      <c r="G64" s="43">
        <f t="shared" si="8"/>
        <v>-1006.96</v>
      </c>
      <c r="H64" s="35"/>
      <c r="I64" s="53">
        <f t="shared" si="9"/>
        <v>-1906.96</v>
      </c>
      <c r="J64" s="53">
        <f t="shared" si="11"/>
        <v>23.7216</v>
      </c>
      <c r="K64" s="53">
        <f>F64-1754.68</f>
        <v>-1161.64</v>
      </c>
      <c r="L64" s="53">
        <f>F64/1754.68*100</f>
        <v>33.79761551963891</v>
      </c>
      <c r="M64" s="35">
        <f>E64-серпень!E64</f>
        <v>600</v>
      </c>
      <c r="N64" s="35">
        <f>F64-серпень!F64</f>
        <v>0.01999999999998181</v>
      </c>
      <c r="O64" s="47">
        <f t="shared" si="10"/>
        <v>-599.98</v>
      </c>
      <c r="P64" s="53"/>
      <c r="Q64" s="53">
        <f>N64-0.04</f>
        <v>-0.02000000000001819</v>
      </c>
      <c r="R64" s="129">
        <f>N64/0.04</f>
        <v>0.49999999999954525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5462.16</v>
      </c>
      <c r="F65" s="146">
        <v>3828.68</v>
      </c>
      <c r="G65" s="43">
        <f t="shared" si="8"/>
        <v>-1633.48</v>
      </c>
      <c r="H65" s="35">
        <f>F65/E65*100</f>
        <v>70.09461458470642</v>
      </c>
      <c r="I65" s="53">
        <f t="shared" si="9"/>
        <v>-7747.32</v>
      </c>
      <c r="J65" s="53">
        <f t="shared" si="11"/>
        <v>33.074291637871454</v>
      </c>
      <c r="K65" s="53">
        <f>F65-2291.79</f>
        <v>1536.8899999999999</v>
      </c>
      <c r="L65" s="53">
        <f>F65/2291.79*100</f>
        <v>167.0606818251236</v>
      </c>
      <c r="M65" s="35">
        <f>E65-серпень!E65</f>
        <v>728.7200000000003</v>
      </c>
      <c r="N65" s="35">
        <f>F65-серпень!F65</f>
        <v>70.03999999999996</v>
      </c>
      <c r="O65" s="47">
        <f t="shared" si="10"/>
        <v>-658.6800000000003</v>
      </c>
      <c r="P65" s="53">
        <f>N65/M65*100</f>
        <v>9.611373366999661</v>
      </c>
      <c r="Q65" s="53">
        <f>N65-450.01</f>
        <v>-379.97</v>
      </c>
      <c r="R65" s="129">
        <f>N65/450.01</f>
        <v>0.155640985755872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1184.8</v>
      </c>
      <c r="F66" s="146">
        <v>1838.86</v>
      </c>
      <c r="G66" s="43">
        <f t="shared" si="8"/>
        <v>654.06</v>
      </c>
      <c r="H66" s="35">
        <f>F66/E66*100</f>
        <v>155.20425388251184</v>
      </c>
      <c r="I66" s="53">
        <f t="shared" si="9"/>
        <v>-1161.14</v>
      </c>
      <c r="J66" s="53">
        <f t="shared" si="11"/>
        <v>61.29533333333333</v>
      </c>
      <c r="K66" s="53">
        <f>F66-864.62</f>
        <v>974.2399999999999</v>
      </c>
      <c r="L66" s="53">
        <f>F66/864.62*100</f>
        <v>212.67840207258678</v>
      </c>
      <c r="M66" s="35">
        <f>E66-серпень!E66</f>
        <v>148.0999999999999</v>
      </c>
      <c r="N66" s="35">
        <f>F66-серпень!F66</f>
        <v>0.2199999999997999</v>
      </c>
      <c r="O66" s="47">
        <f t="shared" si="10"/>
        <v>-147.8800000000001</v>
      </c>
      <c r="P66" s="53">
        <f>N66/M66*100</f>
        <v>0.14854827819027686</v>
      </c>
      <c r="Q66" s="53">
        <f>N66-1.05</f>
        <v>-0.8300000000002001</v>
      </c>
      <c r="R66" s="129">
        <f>N66/1.05</f>
        <v>0.20952380952361896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8246.96</v>
      </c>
      <c r="F67" s="145">
        <f>F64+F65+F66</f>
        <v>6260.579999999999</v>
      </c>
      <c r="G67" s="55">
        <f t="shared" si="8"/>
        <v>-1986.38</v>
      </c>
      <c r="H67" s="65">
        <f>F67/E67*100</f>
        <v>75.91379126368989</v>
      </c>
      <c r="I67" s="54">
        <f t="shared" si="9"/>
        <v>-10815.420000000002</v>
      </c>
      <c r="J67" s="54">
        <f t="shared" si="11"/>
        <v>36.66303583977511</v>
      </c>
      <c r="K67" s="54">
        <f>K64+K65+K66</f>
        <v>1349.4899999999998</v>
      </c>
      <c r="L67" s="54"/>
      <c r="M67" s="55">
        <f>M64+M65+M66</f>
        <v>1476.8200000000002</v>
      </c>
      <c r="N67" s="55">
        <f>N64+N65+N66</f>
        <v>70.27999999999975</v>
      </c>
      <c r="O67" s="54">
        <f t="shared" si="10"/>
        <v>-1406.5400000000004</v>
      </c>
      <c r="P67" s="54">
        <f>N67/M67*100</f>
        <v>4.758873796400357</v>
      </c>
      <c r="Q67" s="54">
        <f>N67-7985.28</f>
        <v>-7915</v>
      </c>
      <c r="R67" s="173">
        <f>N67/7985.28</f>
        <v>0.008801194197323043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25</v>
      </c>
      <c r="F68" s="146">
        <v>0.18</v>
      </c>
      <c r="G68" s="43">
        <f t="shared" si="8"/>
        <v>-24.82</v>
      </c>
      <c r="H68" s="35"/>
      <c r="I68" s="53">
        <f t="shared" si="9"/>
        <v>-34.82</v>
      </c>
      <c r="J68" s="53">
        <f t="shared" si="11"/>
        <v>0.5142857142857142</v>
      </c>
      <c r="K68" s="53">
        <f>F68-14.17</f>
        <v>-13.99</v>
      </c>
      <c r="L68" s="53">
        <f>F68/14.17*100</f>
        <v>1.270289343683839</v>
      </c>
      <c r="M68" s="35">
        <f>E68-серпень!E68</f>
        <v>10</v>
      </c>
      <c r="N68" s="35">
        <f>F68-серпень!F68</f>
        <v>0</v>
      </c>
      <c r="O68" s="47">
        <f t="shared" si="10"/>
        <v>-10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E69-серпень!E69</f>
        <v>0</v>
      </c>
      <c r="N69" s="35">
        <f>F69-серпень!F69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F70-0.85</f>
        <v>0.030000000000000027</v>
      </c>
      <c r="L70" s="53">
        <f>F70/0.85*100</f>
        <v>103.5294117647059</v>
      </c>
      <c r="M70" s="35">
        <f>E70-серпень!E70</f>
        <v>0</v>
      </c>
      <c r="N70" s="35">
        <f>F70-серпень!F70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37</v>
      </c>
      <c r="F71" s="145">
        <f>F68+F70+F69</f>
        <v>1.06</v>
      </c>
      <c r="G71" s="55">
        <f>F71-E71</f>
        <v>-35.94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-33.44</v>
      </c>
      <c r="L71" s="54"/>
      <c r="M71" s="55">
        <f>M68+M70+M69</f>
        <v>10</v>
      </c>
      <c r="N71" s="55">
        <f>N68+N70+N69</f>
        <v>0</v>
      </c>
      <c r="O71" s="54">
        <f>N71-M71</f>
        <v>-10</v>
      </c>
      <c r="P71" s="54"/>
      <c r="Q71" s="54">
        <f>N71-26.38</f>
        <v>-26.38</v>
      </c>
      <c r="R71" s="128">
        <f>N71/26.38</f>
        <v>0</v>
      </c>
    </row>
    <row r="72" spans="2:18" ht="31.5">
      <c r="B72" s="14" t="s">
        <v>125</v>
      </c>
      <c r="C72" s="59">
        <v>24110900</v>
      </c>
      <c r="D72" s="28">
        <v>42</v>
      </c>
      <c r="E72" s="28">
        <v>32.22</v>
      </c>
      <c r="F72" s="146">
        <v>21.06</v>
      </c>
      <c r="G72" s="43">
        <f>F72-E72</f>
        <v>-11.16</v>
      </c>
      <c r="H72" s="35">
        <f>F72/E72*100</f>
        <v>65.36312849162012</v>
      </c>
      <c r="I72" s="53">
        <f>F72-D72</f>
        <v>-20.94</v>
      </c>
      <c r="J72" s="53">
        <f>F72/D72*100</f>
        <v>50.142857142857146</v>
      </c>
      <c r="K72" s="53">
        <f>F72-22.62</f>
        <v>-1.5600000000000023</v>
      </c>
      <c r="L72" s="53">
        <f>F72/22.62*100</f>
        <v>93.10344827586205</v>
      </c>
      <c r="M72" s="35">
        <f>E72-серпень!E72</f>
        <v>9</v>
      </c>
      <c r="N72" s="35">
        <f>F72-серпень!F72</f>
        <v>0</v>
      </c>
      <c r="O72" s="47">
        <f>N72-M72</f>
        <v>-9</v>
      </c>
      <c r="P72" s="53">
        <f>N72/M72*100</f>
        <v>0</v>
      </c>
      <c r="Q72" s="53">
        <f>N72-0.45</f>
        <v>-0.45</v>
      </c>
      <c r="R72" s="129">
        <f>N72/0.45</f>
        <v>0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8316.179999999998</v>
      </c>
      <c r="F74" s="27">
        <f>F62+F72+F67+F71+F73</f>
        <v>6231.199999999999</v>
      </c>
      <c r="G74" s="44">
        <f>F74-E74</f>
        <v>-2084.9799999999996</v>
      </c>
      <c r="H74" s="45">
        <f>F74/E74*100</f>
        <v>74.92863309836969</v>
      </c>
      <c r="I74" s="31">
        <f>F74-D74</f>
        <v>-10940.800000000001</v>
      </c>
      <c r="J74" s="31">
        <f>F74/D74*100</f>
        <v>36.286978802702066</v>
      </c>
      <c r="K74" s="31">
        <f>K62+K67+K71+K72</f>
        <v>1056.4299999999998</v>
      </c>
      <c r="L74" s="31"/>
      <c r="M74" s="27">
        <f>M62+M72+M67+M71</f>
        <v>1495.8200000000002</v>
      </c>
      <c r="N74" s="27">
        <f>N62+N72+N67+N71+N73</f>
        <v>67.76999999999974</v>
      </c>
      <c r="O74" s="31">
        <f>N74-M74</f>
        <v>-1428.0500000000004</v>
      </c>
      <c r="P74" s="31">
        <f>N74/M74*100</f>
        <v>4.530625342621421</v>
      </c>
      <c r="Q74" s="31">
        <f>N74-8104.96</f>
        <v>-8037.1900000000005</v>
      </c>
      <c r="R74" s="127">
        <f>N74/8104.96</f>
        <v>0.008361546509791503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490038.08</v>
      </c>
      <c r="F75" s="27">
        <f>F55+F74</f>
        <v>467526.69000000006</v>
      </c>
      <c r="G75" s="44">
        <f>F75-E75</f>
        <v>-22511.389999999956</v>
      </c>
      <c r="H75" s="45">
        <f>F75/E75*100</f>
        <v>95.4061957797239</v>
      </c>
      <c r="I75" s="31">
        <f>F75-D75</f>
        <v>-150667.90999999992</v>
      </c>
      <c r="J75" s="31">
        <f>F75/D75*100</f>
        <v>75.62775378497322</v>
      </c>
      <c r="K75" s="31">
        <f>K55+K74</f>
        <v>131081.506</v>
      </c>
      <c r="L75" s="31">
        <f>F75/(F75-K75)*100</f>
        <v>138.9607318617466</v>
      </c>
      <c r="M75" s="18">
        <f>M55+M74</f>
        <v>50034.219999999994</v>
      </c>
      <c r="N75" s="18">
        <f>N55+N74</f>
        <v>10229.07000000003</v>
      </c>
      <c r="O75" s="31">
        <f>N75-M75</f>
        <v>-39805.149999999965</v>
      </c>
      <c r="P75" s="31">
        <f>N75/M75*100</f>
        <v>20.444148025091692</v>
      </c>
      <c r="Q75" s="31">
        <f>N75-42872.96</f>
        <v>-32643.88999999997</v>
      </c>
      <c r="R75" s="127">
        <f>N75/42872.96</f>
        <v>0.23859024429384001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18</v>
      </c>
      <c r="D77" s="4" t="s">
        <v>118</v>
      </c>
    </row>
    <row r="78" spans="2:17" ht="31.5">
      <c r="B78" s="71" t="s">
        <v>154</v>
      </c>
      <c r="C78" s="34">
        <f>IF(O55&lt;0,ABS(O55/C77),0)</f>
        <v>2132.061111111109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42251</v>
      </c>
      <c r="D79" s="34">
        <v>4209.5</v>
      </c>
      <c r="G79" s="4" t="s">
        <v>166</v>
      </c>
      <c r="N79" s="236"/>
      <c r="O79" s="236"/>
    </row>
    <row r="80" spans="3:15" ht="15.75">
      <c r="C80" s="111">
        <v>42250</v>
      </c>
      <c r="D80" s="34">
        <v>684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42249</v>
      </c>
      <c r="D81" s="34">
        <v>582.45</v>
      </c>
      <c r="F81" s="90"/>
      <c r="G81" s="228"/>
      <c r="H81" s="228"/>
      <c r="I81" s="177"/>
      <c r="J81" s="235"/>
      <c r="K81" s="235"/>
      <c r="L81" s="235"/>
      <c r="M81" s="235"/>
      <c r="N81" s="236"/>
      <c r="O81" s="236"/>
    </row>
    <row r="82" spans="3:13" ht="15.75" customHeight="1">
      <c r="C82" s="111"/>
      <c r="F82" s="90"/>
      <c r="G82" s="237"/>
      <c r="H82" s="237"/>
      <c r="I82" s="221"/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10000.05131</v>
      </c>
      <c r="E83" s="220"/>
      <c r="F83" s="222"/>
      <c r="G83" s="228"/>
      <c r="H83" s="228"/>
      <c r="I83" s="223"/>
      <c r="J83" s="234"/>
      <c r="K83" s="234"/>
      <c r="L83" s="234"/>
      <c r="M83" s="234"/>
    </row>
    <row r="84" spans="6:12" ht="9.75" customHeight="1">
      <c r="F84" s="90"/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F85" s="90"/>
      <c r="G85" s="228"/>
      <c r="H85" s="228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8" right="0.25" top="0.27" bottom="0.36" header="0.2" footer="0.29"/>
  <pageSetup fitToHeight="1" fitToWidth="1" horizontalDpi="600" verticalDpi="600" orientation="portrait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51" t="s">
        <v>193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203</v>
      </c>
      <c r="C3" s="256" t="s">
        <v>0</v>
      </c>
      <c r="D3" s="257" t="s">
        <v>190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187</v>
      </c>
      <c r="N3" s="262" t="s">
        <v>175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153</v>
      </c>
      <c r="F4" s="245" t="s">
        <v>116</v>
      </c>
      <c r="G4" s="247" t="s">
        <v>173</v>
      </c>
      <c r="H4" s="274" t="s">
        <v>174</v>
      </c>
      <c r="I4" s="276" t="s">
        <v>186</v>
      </c>
      <c r="J4" s="279" t="s">
        <v>189</v>
      </c>
      <c r="K4" s="116" t="s">
        <v>172</v>
      </c>
      <c r="L4" s="121" t="s">
        <v>171</v>
      </c>
      <c r="M4" s="241"/>
      <c r="N4" s="226" t="s">
        <v>194</v>
      </c>
      <c r="O4" s="276" t="s">
        <v>136</v>
      </c>
      <c r="P4" s="262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75"/>
      <c r="I5" s="277"/>
      <c r="J5" s="280"/>
      <c r="K5" s="238" t="s">
        <v>188</v>
      </c>
      <c r="L5" s="239"/>
      <c r="M5" s="242"/>
      <c r="N5" s="227"/>
      <c r="O5" s="277"/>
      <c r="P5" s="262"/>
      <c r="Q5" s="238" t="s">
        <v>176</v>
      </c>
      <c r="R5" s="239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40"/>
      <c r="H137" s="240"/>
      <c r="I137" s="240"/>
      <c r="J137" s="240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36"/>
      <c r="O138" s="236"/>
    </row>
    <row r="139" spans="3:15" ht="15.75">
      <c r="C139" s="111">
        <v>42033</v>
      </c>
      <c r="D139" s="34">
        <v>2896.5</v>
      </c>
      <c r="F139" s="155" t="s">
        <v>166</v>
      </c>
      <c r="G139" s="265" t="s">
        <v>151</v>
      </c>
      <c r="H139" s="265"/>
      <c r="I139" s="106">
        <f>8909.733</f>
        <v>8909.733</v>
      </c>
      <c r="J139" s="278" t="s">
        <v>161</v>
      </c>
      <c r="K139" s="278"/>
      <c r="L139" s="278"/>
      <c r="M139" s="278"/>
      <c r="N139" s="236"/>
      <c r="O139" s="236"/>
    </row>
    <row r="140" spans="3:15" ht="15.75">
      <c r="C140" s="111">
        <v>42032</v>
      </c>
      <c r="D140" s="34">
        <v>2838.1</v>
      </c>
      <c r="G140" s="273" t="s">
        <v>155</v>
      </c>
      <c r="H140" s="273"/>
      <c r="I140" s="103">
        <v>0</v>
      </c>
      <c r="J140" s="281" t="s">
        <v>162</v>
      </c>
      <c r="K140" s="281"/>
      <c r="L140" s="281"/>
      <c r="M140" s="281"/>
      <c r="N140" s="236"/>
      <c r="O140" s="236"/>
    </row>
    <row r="141" spans="7:13" ht="15.75" customHeight="1">
      <c r="G141" s="265" t="s">
        <v>148</v>
      </c>
      <c r="H141" s="265"/>
      <c r="I141" s="103">
        <v>0</v>
      </c>
      <c r="J141" s="278" t="s">
        <v>163</v>
      </c>
      <c r="K141" s="278"/>
      <c r="L141" s="278"/>
      <c r="M141" s="278"/>
    </row>
    <row r="142" spans="2:13" ht="18.75" customHeight="1">
      <c r="B142" s="232" t="s">
        <v>160</v>
      </c>
      <c r="C142" s="233"/>
      <c r="D142" s="108">
        <f>132375.63</f>
        <v>132375.63</v>
      </c>
      <c r="E142" s="73"/>
      <c r="F142" s="156" t="s">
        <v>147</v>
      </c>
      <c r="G142" s="265" t="s">
        <v>149</v>
      </c>
      <c r="H142" s="265"/>
      <c r="I142" s="107">
        <f>123465.893</f>
        <v>123465.893</v>
      </c>
      <c r="J142" s="278" t="s">
        <v>164</v>
      </c>
      <c r="K142" s="278"/>
      <c r="L142" s="278"/>
      <c r="M142" s="278"/>
    </row>
    <row r="143" spans="7:12" ht="9.75" customHeight="1">
      <c r="G143" s="228"/>
      <c r="H143" s="228"/>
      <c r="I143" s="90"/>
      <c r="J143" s="91"/>
      <c r="K143" s="91"/>
      <c r="L143" s="91"/>
    </row>
    <row r="144" spans="2:12" ht="22.5" customHeight="1" hidden="1">
      <c r="B144" s="229" t="s">
        <v>167</v>
      </c>
      <c r="C144" s="230"/>
      <c r="D144" s="110">
        <v>0</v>
      </c>
      <c r="E144" s="70" t="s">
        <v>104</v>
      </c>
      <c r="G144" s="228"/>
      <c r="H144" s="228"/>
      <c r="I144" s="90"/>
      <c r="J144" s="91"/>
      <c r="K144" s="91"/>
      <c r="L144" s="91"/>
    </row>
    <row r="145" spans="4:15" ht="15.75">
      <c r="D145" s="105"/>
      <c r="N145" s="228"/>
      <c r="O145" s="228"/>
    </row>
    <row r="146" spans="4:15" ht="15.75">
      <c r="D146" s="104"/>
      <c r="I146" s="34"/>
      <c r="N146" s="231"/>
      <c r="O146" s="231"/>
    </row>
    <row r="147" spans="14:15" ht="15.75">
      <c r="N147" s="228"/>
      <c r="O147" s="228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3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H53" sqref="H53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296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293</v>
      </c>
      <c r="N3" s="262" t="s">
        <v>294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291</v>
      </c>
      <c r="F4" s="245" t="s">
        <v>116</v>
      </c>
      <c r="G4" s="247" t="s">
        <v>292</v>
      </c>
      <c r="H4" s="249" t="s">
        <v>301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297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295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413076.0999999999</v>
      </c>
      <c r="F8" s="18">
        <f>F9+F15+F18+F19+F20+F32+F17</f>
        <v>429512.11000000004</v>
      </c>
      <c r="G8" s="18">
        <f aca="true" t="shared" si="0" ref="G8:G54">F8-E8</f>
        <v>16436.010000000126</v>
      </c>
      <c r="H8" s="45">
        <f>F8/E8*100</f>
        <v>103.97893027459108</v>
      </c>
      <c r="I8" s="31">
        <f aca="true" t="shared" si="1" ref="I8:I54">F8-D8</f>
        <v>-142776.88999999996</v>
      </c>
      <c r="J8" s="31">
        <f aca="true" t="shared" si="2" ref="J8:J14">F8/D8*100</f>
        <v>75.05161028780914</v>
      </c>
      <c r="K8" s="18">
        <f>K9+K15+K18+K19+K20+K32</f>
        <v>106867.78600000001</v>
      </c>
      <c r="L8" s="18"/>
      <c r="M8" s="18">
        <f>M9+M15+M18+M19+M20+M32+M17</f>
        <v>84902.7</v>
      </c>
      <c r="N8" s="18">
        <f>N9+N15+N18+N19+N20+N32+N17</f>
        <v>62739.87999999999</v>
      </c>
      <c r="O8" s="31">
        <f aca="true" t="shared" si="3" ref="O8:O54">N8-M8</f>
        <v>-22162.820000000007</v>
      </c>
      <c r="P8" s="31">
        <f>F8/M8*100</f>
        <v>505.8874570537805</v>
      </c>
      <c r="Q8" s="31">
        <f>N8-33748.16</f>
        <v>28991.719999999987</v>
      </c>
      <c r="R8" s="125">
        <f>N8/33748.16</f>
        <v>1.8590607606459133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f>214524.65+8000</f>
        <v>222524.65</v>
      </c>
      <c r="F9" s="143">
        <v>233711.01</v>
      </c>
      <c r="G9" s="43">
        <f t="shared" si="0"/>
        <v>11186.360000000015</v>
      </c>
      <c r="H9" s="35">
        <f aca="true" t="shared" si="4" ref="H9:H32">F9/E9*100</f>
        <v>105.02702060198726</v>
      </c>
      <c r="I9" s="50">
        <f t="shared" si="1"/>
        <v>-78978.98999999999</v>
      </c>
      <c r="J9" s="50">
        <f t="shared" si="2"/>
        <v>74.74208001535067</v>
      </c>
      <c r="K9" s="132">
        <f>F9-250278.43/75*60</f>
        <v>33488.266</v>
      </c>
      <c r="L9" s="132">
        <f>F9/(250278.43/75*60)*100</f>
        <v>116.72550547004789</v>
      </c>
      <c r="M9" s="35">
        <f>E9-липень!E9</f>
        <v>34220</v>
      </c>
      <c r="N9" s="35">
        <f>F9-липень!F9</f>
        <v>30276.570000000007</v>
      </c>
      <c r="O9" s="47">
        <f t="shared" si="3"/>
        <v>-3943.429999999993</v>
      </c>
      <c r="P9" s="50">
        <f aca="true" t="shared" si="5" ref="P9:P32">N9/M9*100</f>
        <v>88.4762419637639</v>
      </c>
      <c r="Q9" s="132">
        <f>N9-26568.11</f>
        <v>3708.4600000000064</v>
      </c>
      <c r="R9" s="133">
        <f>N9/26568.11</f>
        <v>1.1395831318072684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f>188000.25+8000</f>
        <v>196000.25</v>
      </c>
      <c r="F10" s="144">
        <v>206618.21</v>
      </c>
      <c r="G10" s="135">
        <f t="shared" si="0"/>
        <v>10617.959999999992</v>
      </c>
      <c r="H10" s="137">
        <f t="shared" si="4"/>
        <v>105.4173196207658</v>
      </c>
      <c r="I10" s="136">
        <f t="shared" si="1"/>
        <v>-33791.79000000001</v>
      </c>
      <c r="J10" s="136">
        <f t="shared" si="2"/>
        <v>85.94409966307558</v>
      </c>
      <c r="K10" s="138">
        <f>F10-222647.03/75*60</f>
        <v>28500.58600000001</v>
      </c>
      <c r="L10" s="138">
        <f>F10/(222647.03/75*60)*100</f>
        <v>116.00099156948109</v>
      </c>
      <c r="M10" s="35">
        <f>E10-липень!E10</f>
        <v>30770</v>
      </c>
      <c r="N10" s="35">
        <f>F10-липень!F10</f>
        <v>26548.23999999999</v>
      </c>
      <c r="O10" s="138">
        <f t="shared" si="3"/>
        <v>-4221.760000000009</v>
      </c>
      <c r="P10" s="136">
        <f t="shared" si="5"/>
        <v>86.27962300942474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14688</v>
      </c>
      <c r="F11" s="144">
        <v>12408.56</v>
      </c>
      <c r="G11" s="135">
        <f t="shared" si="0"/>
        <v>-2279.4400000000005</v>
      </c>
      <c r="H11" s="137">
        <f t="shared" si="4"/>
        <v>84.48093681917211</v>
      </c>
      <c r="I11" s="136">
        <f t="shared" si="1"/>
        <v>-11291.44</v>
      </c>
      <c r="J11" s="136">
        <f t="shared" si="2"/>
        <v>52.356793248945145</v>
      </c>
      <c r="K11" s="138">
        <f>F11-15880.56/75*60</f>
        <v>-295.88800000000083</v>
      </c>
      <c r="L11" s="138">
        <f>F11/(15880.56/75*60)*100</f>
        <v>97.67098893238021</v>
      </c>
      <c r="M11" s="35">
        <f>E11-липень!E11</f>
        <v>1980</v>
      </c>
      <c r="N11" s="35">
        <f>F11-липень!F11</f>
        <v>1617.17</v>
      </c>
      <c r="O11" s="138">
        <f t="shared" si="3"/>
        <v>-362.8299999999999</v>
      </c>
      <c r="P11" s="136">
        <f t="shared" si="5"/>
        <v>81.67525252525253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3249</v>
      </c>
      <c r="F12" s="144">
        <v>3331.36</v>
      </c>
      <c r="G12" s="135">
        <f t="shared" si="0"/>
        <v>82.36000000000013</v>
      </c>
      <c r="H12" s="137">
        <f t="shared" si="4"/>
        <v>102.53493382579255</v>
      </c>
      <c r="I12" s="136">
        <f t="shared" si="1"/>
        <v>-2468.64</v>
      </c>
      <c r="J12" s="136">
        <f t="shared" si="2"/>
        <v>57.43724137931034</v>
      </c>
      <c r="K12" s="138">
        <f>F12-4856.12/75*60</f>
        <v>-553.5359999999996</v>
      </c>
      <c r="L12" s="138">
        <f>F12/(4856.12*60)*100</f>
        <v>1.1433545024971925</v>
      </c>
      <c r="M12" s="35">
        <f>E12-липень!E12</f>
        <v>420</v>
      </c>
      <c r="N12" s="35">
        <f>F12-липень!F12</f>
        <v>278.44000000000005</v>
      </c>
      <c r="O12" s="138">
        <f t="shared" si="3"/>
        <v>-141.55999999999995</v>
      </c>
      <c r="P12" s="136">
        <f t="shared" si="5"/>
        <v>66.2952380952381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5773.4</v>
      </c>
      <c r="F13" s="144">
        <v>4976.73</v>
      </c>
      <c r="G13" s="135">
        <f t="shared" si="0"/>
        <v>-796.6700000000001</v>
      </c>
      <c r="H13" s="137">
        <f t="shared" si="4"/>
        <v>86.2010253923165</v>
      </c>
      <c r="I13" s="136">
        <f t="shared" si="1"/>
        <v>-3423.2700000000004</v>
      </c>
      <c r="J13" s="136">
        <f t="shared" si="2"/>
        <v>59.24678571428571</v>
      </c>
      <c r="K13" s="138">
        <f>F13-6838.4/75*60</f>
        <v>-493.9899999999998</v>
      </c>
      <c r="L13" s="138">
        <f>F13/(6838.4/75*60)*100</f>
        <v>90.97029275854001</v>
      </c>
      <c r="M13" s="35">
        <f>E13-липень!E13</f>
        <v>660</v>
      </c>
      <c r="N13" s="35">
        <f>F13-липень!F13</f>
        <v>916.7099999999996</v>
      </c>
      <c r="O13" s="138">
        <f t="shared" si="3"/>
        <v>256.7099999999996</v>
      </c>
      <c r="P13" s="136">
        <f t="shared" si="5"/>
        <v>138.8954545454545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2814</v>
      </c>
      <c r="F14" s="144">
        <v>6376.14</v>
      </c>
      <c r="G14" s="135">
        <f t="shared" si="0"/>
        <v>3562.1400000000003</v>
      </c>
      <c r="H14" s="137">
        <f t="shared" si="4"/>
        <v>226.58635394456292</v>
      </c>
      <c r="I14" s="136">
        <f t="shared" si="1"/>
        <v>1996.1400000000003</v>
      </c>
      <c r="J14" s="136">
        <f t="shared" si="2"/>
        <v>145.57397260273973</v>
      </c>
      <c r="K14" s="138">
        <f>F14-56.31/75*60</f>
        <v>6331.092000000001</v>
      </c>
      <c r="L14" s="138">
        <f>F14/(56.31/75*60)*100</f>
        <v>14154.10229088972</v>
      </c>
      <c r="M14" s="35">
        <f>E14-липень!E14</f>
        <v>390</v>
      </c>
      <c r="N14" s="35">
        <f>F14-липень!F14</f>
        <v>916.0200000000004</v>
      </c>
      <c r="O14" s="138">
        <f t="shared" si="3"/>
        <v>526.0200000000004</v>
      </c>
      <c r="P14" s="136">
        <f t="shared" si="5"/>
        <v>234.87692307692322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-734.58</v>
      </c>
      <c r="G15" s="43">
        <f t="shared" si="0"/>
        <v>-905.8800000000001</v>
      </c>
      <c r="H15" s="35"/>
      <c r="I15" s="50">
        <f t="shared" si="1"/>
        <v>-734.58</v>
      </c>
      <c r="J15" s="50" t="e">
        <f>F15/D15*100</f>
        <v>#DIV/0!</v>
      </c>
      <c r="K15" s="53">
        <f>F15-72.71</f>
        <v>-807.2900000000001</v>
      </c>
      <c r="L15" s="53">
        <f>F15/72.71*100</f>
        <v>-1010.2874432677762</v>
      </c>
      <c r="M15" s="35">
        <f>E15-липень!E15</f>
        <v>0</v>
      </c>
      <c r="N15" s="35">
        <f>F15-липень!F15</f>
        <v>54.17999999999995</v>
      </c>
      <c r="O15" s="47">
        <f t="shared" si="3"/>
        <v>54.17999999999995</v>
      </c>
      <c r="P15" s="50"/>
      <c r="Q15" s="50">
        <f>N15-358.81</f>
        <v>-304.63000000000005</v>
      </c>
      <c r="R15" s="126">
        <f>N15/358.81</f>
        <v>0.15099913603299783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-1233.81</v>
      </c>
      <c r="G16" s="135">
        <f t="shared" si="0"/>
        <v>-1233.81</v>
      </c>
      <c r="H16" s="137"/>
      <c r="I16" s="136">
        <f t="shared" si="1"/>
        <v>-1233.81</v>
      </c>
      <c r="J16" s="136"/>
      <c r="K16" s="138">
        <f>F16-573.12</f>
        <v>-1806.9299999999998</v>
      </c>
      <c r="L16" s="138">
        <f>F16/573.12*100</f>
        <v>-215.2795226130653</v>
      </c>
      <c r="M16" s="35">
        <f>E16-липень!E16</f>
        <v>0</v>
      </c>
      <c r="N16" s="35">
        <f>F16-липень!F16</f>
        <v>52.330000000000155</v>
      </c>
      <c r="O16" s="138">
        <f t="shared" si="3"/>
        <v>52.330000000000155</v>
      </c>
      <c r="P16" s="50"/>
      <c r="Q16" s="136">
        <f>N16-358.81</f>
        <v>-306.47999999999985</v>
      </c>
      <c r="R16" s="141">
        <f>N16/358.79</f>
        <v>0.14585133364921027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E17-липень!E17</f>
        <v>0</v>
      </c>
      <c r="N17" s="35">
        <f>F17-липень!F17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E18-липень!E18</f>
        <v>0</v>
      </c>
      <c r="N18" s="35">
        <f>F18-липень!F18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f>27442.75+16480</f>
        <v>43922.75</v>
      </c>
      <c r="F19" s="168">
        <v>43877.66</v>
      </c>
      <c r="G19" s="43">
        <f t="shared" si="0"/>
        <v>-45.08999999999651</v>
      </c>
      <c r="H19" s="35">
        <f t="shared" si="4"/>
        <v>99.89734249335483</v>
      </c>
      <c r="I19" s="50">
        <f t="shared" si="1"/>
        <v>-18332.339999999997</v>
      </c>
      <c r="J19" s="178">
        <f>F19/D19*100</f>
        <v>70.53152226330172</v>
      </c>
      <c r="K19" s="179">
        <f>F19-0</f>
        <v>43877.66</v>
      </c>
      <c r="L19" s="180"/>
      <c r="M19" s="35">
        <f>E19-липень!E19</f>
        <v>17700</v>
      </c>
      <c r="N19" s="35">
        <f>F19-липень!F19</f>
        <v>6753.050000000003</v>
      </c>
      <c r="O19" s="47">
        <f t="shared" si="3"/>
        <v>-10946.949999999997</v>
      </c>
      <c r="P19" s="50">
        <f t="shared" si="5"/>
        <v>38.15282485875708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140692.3</v>
      </c>
      <c r="F20" s="169">
        <f>F21+F25+F27+F26</f>
        <v>147068.16999999998</v>
      </c>
      <c r="G20" s="43">
        <f t="shared" si="0"/>
        <v>6375.869999999995</v>
      </c>
      <c r="H20" s="35">
        <f t="shared" si="4"/>
        <v>104.53178318927189</v>
      </c>
      <c r="I20" s="50">
        <f t="shared" si="1"/>
        <v>-42801.830000000016</v>
      </c>
      <c r="J20" s="178">
        <f aca="true" t="shared" si="6" ref="J20:J46">F20/D20*100</f>
        <v>77.45729709801442</v>
      </c>
      <c r="K20" s="178">
        <f>K21+K25+K26+K27</f>
        <v>32086.22</v>
      </c>
      <c r="L20" s="136"/>
      <c r="M20" s="35">
        <f>E20-липень!E20</f>
        <v>31232.59999999999</v>
      </c>
      <c r="N20" s="35">
        <f>F20-липень!F20</f>
        <v>24111.17999999998</v>
      </c>
      <c r="O20" s="47">
        <f t="shared" si="3"/>
        <v>-7121.420000000013</v>
      </c>
      <c r="P20" s="50">
        <f t="shared" si="5"/>
        <v>77.19876026971814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77180.3</v>
      </c>
      <c r="F21" s="169">
        <f>F22+F23+F24</f>
        <v>79798.88</v>
      </c>
      <c r="G21" s="43">
        <f t="shared" si="0"/>
        <v>2618.5800000000017</v>
      </c>
      <c r="H21" s="35">
        <f t="shared" si="4"/>
        <v>103.39280878669817</v>
      </c>
      <c r="I21" s="50">
        <f t="shared" si="1"/>
        <v>-30501.119999999995</v>
      </c>
      <c r="J21" s="178">
        <f t="shared" si="6"/>
        <v>72.3471260199456</v>
      </c>
      <c r="K21" s="178">
        <f>K22+K23+K24</f>
        <v>25217.340000000004</v>
      </c>
      <c r="L21" s="136"/>
      <c r="M21" s="35">
        <f>E21-липень!E21</f>
        <v>19677.100000000006</v>
      </c>
      <c r="N21" s="35">
        <f>F21-липень!F21</f>
        <v>11931.700000000012</v>
      </c>
      <c r="O21" s="47">
        <f t="shared" si="3"/>
        <v>-7745.399999999994</v>
      </c>
      <c r="P21" s="50">
        <f t="shared" si="5"/>
        <v>60.637492313399875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629.3+7994</f>
        <v>8623.3</v>
      </c>
      <c r="F22" s="144">
        <v>8673.74</v>
      </c>
      <c r="G22" s="135">
        <f t="shared" si="0"/>
        <v>50.44000000000051</v>
      </c>
      <c r="H22" s="137">
        <f t="shared" si="4"/>
        <v>100.58492688413949</v>
      </c>
      <c r="I22" s="136">
        <f t="shared" si="1"/>
        <v>-2026.2600000000002</v>
      </c>
      <c r="J22" s="136">
        <f t="shared" si="6"/>
        <v>81.0629906542056</v>
      </c>
      <c r="K22" s="136">
        <f>F22-288.8</f>
        <v>8384.94</v>
      </c>
      <c r="L22" s="136">
        <f>F22/288.8*100</f>
        <v>3003.372576177285</v>
      </c>
      <c r="M22" s="137">
        <f>E22-липень!E22</f>
        <v>8044.099999999999</v>
      </c>
      <c r="N22" s="137">
        <f>F22-липень!F22</f>
        <v>217.75</v>
      </c>
      <c r="O22" s="138">
        <f t="shared" si="3"/>
        <v>-7826.349999999999</v>
      </c>
      <c r="P22" s="136">
        <f t="shared" si="5"/>
        <v>2.7069529220173796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1050+428</f>
        <v>1478</v>
      </c>
      <c r="F23" s="144">
        <v>3116.95</v>
      </c>
      <c r="G23" s="135">
        <f t="shared" si="0"/>
        <v>1638.9499999999998</v>
      </c>
      <c r="H23" s="137"/>
      <c r="I23" s="136">
        <f t="shared" si="1"/>
        <v>1016.9499999999998</v>
      </c>
      <c r="J23" s="136">
        <f t="shared" si="6"/>
        <v>148.42619047619047</v>
      </c>
      <c r="K23" s="136">
        <f>F23-0</f>
        <v>3116.95</v>
      </c>
      <c r="L23" s="136"/>
      <c r="M23" s="137">
        <f>E23-липень!E23</f>
        <v>1103</v>
      </c>
      <c r="N23" s="137">
        <f>F23-липень!F23</f>
        <v>2343.75</v>
      </c>
      <c r="O23" s="138">
        <f t="shared" si="3"/>
        <v>1240.75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65279+1800</f>
        <v>67079</v>
      </c>
      <c r="F24" s="144">
        <v>68008.19</v>
      </c>
      <c r="G24" s="135">
        <f t="shared" si="0"/>
        <v>929.1900000000023</v>
      </c>
      <c r="H24" s="137">
        <f t="shared" si="4"/>
        <v>101.38521743019425</v>
      </c>
      <c r="I24" s="136">
        <f t="shared" si="1"/>
        <v>-29491.809999999998</v>
      </c>
      <c r="J24" s="136">
        <f t="shared" si="6"/>
        <v>69.75198974358975</v>
      </c>
      <c r="K24" s="224">
        <f>F24-54292.74</f>
        <v>13715.450000000004</v>
      </c>
      <c r="L24" s="224">
        <f>F24/54292.74*100</f>
        <v>125.26203319265154</v>
      </c>
      <c r="M24" s="137">
        <f>E24-липень!E24</f>
        <v>10530</v>
      </c>
      <c r="N24" s="137">
        <f>F24-липень!F24</f>
        <v>9370.200000000004</v>
      </c>
      <c r="O24" s="138">
        <f t="shared" si="3"/>
        <v>-1159.7999999999956</v>
      </c>
      <c r="P24" s="136">
        <f t="shared" si="5"/>
        <v>88.98575498575502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35.5</v>
      </c>
      <c r="F25" s="168">
        <v>48.85</v>
      </c>
      <c r="G25" s="43">
        <f t="shared" si="0"/>
        <v>13.350000000000001</v>
      </c>
      <c r="H25" s="35">
        <f t="shared" si="4"/>
        <v>137.6056338028169</v>
      </c>
      <c r="I25" s="50">
        <f t="shared" si="1"/>
        <v>-21.15</v>
      </c>
      <c r="J25" s="178">
        <f t="shared" si="6"/>
        <v>69.78571428571428</v>
      </c>
      <c r="K25" s="178">
        <f>F25-41.08</f>
        <v>7.770000000000003</v>
      </c>
      <c r="L25" s="178">
        <f>F25/41.08*100</f>
        <v>118.91431353456672</v>
      </c>
      <c r="M25" s="35">
        <f>E25-липень!E25</f>
        <v>5.5</v>
      </c>
      <c r="N25" s="35">
        <f>F25-липень!F25</f>
        <v>7.190000000000005</v>
      </c>
      <c r="O25" s="47">
        <f t="shared" si="3"/>
        <v>1.6900000000000048</v>
      </c>
      <c r="P25" s="50">
        <f t="shared" si="5"/>
        <v>130.72727272727283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-614.57</v>
      </c>
      <c r="G26" s="43">
        <f t="shared" si="0"/>
        <v>-614.57</v>
      </c>
      <c r="H26" s="35"/>
      <c r="I26" s="50">
        <f t="shared" si="1"/>
        <v>-614.57</v>
      </c>
      <c r="J26" s="136"/>
      <c r="K26" s="178">
        <f>F26-4244.7</f>
        <v>-4859.2699999999995</v>
      </c>
      <c r="L26" s="178">
        <f>F26/4244.7*100</f>
        <v>-14.478526162037367</v>
      </c>
      <c r="M26" s="35">
        <f>E26-липень!E26</f>
        <v>0</v>
      </c>
      <c r="N26" s="35">
        <f>F26-липень!F26</f>
        <v>-84.21000000000004</v>
      </c>
      <c r="O26" s="47">
        <f t="shared" si="3"/>
        <v>-84.21000000000004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f>59836.5+3640</f>
        <v>63476.5</v>
      </c>
      <c r="F27" s="168">
        <v>67835.01</v>
      </c>
      <c r="G27" s="43">
        <f t="shared" si="0"/>
        <v>4358.509999999995</v>
      </c>
      <c r="H27" s="35">
        <f t="shared" si="4"/>
        <v>106.8663363607004</v>
      </c>
      <c r="I27" s="50">
        <f t="shared" si="1"/>
        <v>-11664.990000000005</v>
      </c>
      <c r="J27" s="178">
        <f t="shared" si="6"/>
        <v>85.32705660377357</v>
      </c>
      <c r="K27" s="132">
        <f>F27-56114.63</f>
        <v>11720.379999999997</v>
      </c>
      <c r="L27" s="132">
        <f>F27/56114.63*100</f>
        <v>120.88649608845323</v>
      </c>
      <c r="M27" s="35">
        <f>E27-липень!E27</f>
        <v>11550</v>
      </c>
      <c r="N27" s="35">
        <f>F27-липень!F27</f>
        <v>12256.499999999993</v>
      </c>
      <c r="O27" s="47">
        <f t="shared" si="3"/>
        <v>706.4999999999927</v>
      </c>
      <c r="P27" s="50">
        <f t="shared" si="5"/>
        <v>106.11688311688306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137">
        <f>E28-липень!E28</f>
        <v>0</v>
      </c>
      <c r="N28" s="137">
        <f>F28-липень!F28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f>14740+840</f>
        <v>15580</v>
      </c>
      <c r="F29" s="144">
        <v>16931.33</v>
      </c>
      <c r="G29" s="135">
        <f t="shared" si="0"/>
        <v>1351.3300000000017</v>
      </c>
      <c r="H29" s="137">
        <f t="shared" si="4"/>
        <v>108.6734916559692</v>
      </c>
      <c r="I29" s="136">
        <f t="shared" si="1"/>
        <v>-2268.6699999999983</v>
      </c>
      <c r="J29" s="136">
        <f t="shared" si="6"/>
        <v>88.18401041666668</v>
      </c>
      <c r="K29" s="139">
        <f>F29-15615.32</f>
        <v>1316.010000000002</v>
      </c>
      <c r="L29" s="139">
        <f>F29/15615.32*100</f>
        <v>108.42768511948523</v>
      </c>
      <c r="M29" s="137">
        <f>E29-липень!E29</f>
        <v>3340</v>
      </c>
      <c r="N29" s="137">
        <f>F29-липень!F29</f>
        <v>3852.470000000001</v>
      </c>
      <c r="O29" s="138">
        <f t="shared" si="3"/>
        <v>512.4700000000012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f>45096.5+2800</f>
        <v>47896.5</v>
      </c>
      <c r="F30" s="144">
        <v>50888.07</v>
      </c>
      <c r="G30" s="135">
        <f t="shared" si="0"/>
        <v>2991.5699999999997</v>
      </c>
      <c r="H30" s="137">
        <f t="shared" si="4"/>
        <v>106.245905233159</v>
      </c>
      <c r="I30" s="136">
        <f t="shared" si="1"/>
        <v>-9411.93</v>
      </c>
      <c r="J30" s="136">
        <f t="shared" si="6"/>
        <v>84.39149253731343</v>
      </c>
      <c r="K30" s="139">
        <f>F30-40498.93</f>
        <v>10389.14</v>
      </c>
      <c r="L30" s="139">
        <f>F30/40498.93*100</f>
        <v>125.65287527349487</v>
      </c>
      <c r="M30" s="137">
        <f>E30-липень!E30</f>
        <v>8210</v>
      </c>
      <c r="N30" s="137">
        <f>F30-липень!F30</f>
        <v>8397.029999999999</v>
      </c>
      <c r="O30" s="138">
        <f t="shared" si="3"/>
        <v>187.02999999999884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 t="shared" si="0"/>
        <v>16.81</v>
      </c>
      <c r="H31" s="137"/>
      <c r="I31" s="136">
        <f t="shared" si="1"/>
        <v>16.81</v>
      </c>
      <c r="J31" s="136"/>
      <c r="K31" s="139">
        <f>F31-0</f>
        <v>16.81</v>
      </c>
      <c r="L31" s="139"/>
      <c r="M31" s="137">
        <f>E31-липень!E31</f>
        <v>0</v>
      </c>
      <c r="N31" s="137">
        <f>F31-липень!F31</f>
        <v>7.009999999999998</v>
      </c>
      <c r="O31" s="138">
        <f t="shared" si="3"/>
        <v>7.009999999999998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5752.1</v>
      </c>
      <c r="F32" s="168">
        <v>5573.96</v>
      </c>
      <c r="G32" s="43">
        <f t="shared" si="0"/>
        <v>-178.14000000000033</v>
      </c>
      <c r="H32" s="35">
        <f t="shared" si="4"/>
        <v>96.90304410563098</v>
      </c>
      <c r="I32" s="50">
        <f t="shared" si="1"/>
        <v>-1926.04</v>
      </c>
      <c r="J32" s="178">
        <f t="shared" si="6"/>
        <v>74.31946666666667</v>
      </c>
      <c r="K32" s="178">
        <f>F32-7363.52</f>
        <v>-1789.5600000000004</v>
      </c>
      <c r="L32" s="178">
        <f>F32/5308.17*100</f>
        <v>105.00718703432632</v>
      </c>
      <c r="M32" s="35">
        <f>E32-липень!E32</f>
        <v>1750.1000000000004</v>
      </c>
      <c r="N32" s="35">
        <f>F32-липень!F32</f>
        <v>1544.9</v>
      </c>
      <c r="O32" s="47">
        <f t="shared" si="3"/>
        <v>-205.20000000000027</v>
      </c>
      <c r="P32" s="50">
        <f t="shared" si="5"/>
        <v>88.27495571681617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20090.2</v>
      </c>
      <c r="F33" s="18">
        <f>F34+F35+F36+F37+F38+F41+F42+F47+F48+F52+F40+F39</f>
        <v>21607.350000000002</v>
      </c>
      <c r="G33" s="44">
        <f t="shared" si="0"/>
        <v>1517.1500000000015</v>
      </c>
      <c r="H33" s="45">
        <f>F33/E33*100</f>
        <v>107.55169186966779</v>
      </c>
      <c r="I33" s="31">
        <f t="shared" si="1"/>
        <v>-7099.749999999996</v>
      </c>
      <c r="J33" s="31">
        <f t="shared" si="6"/>
        <v>75.2683134137548</v>
      </c>
      <c r="K33" s="18">
        <f>K34+K35+K36+K37+K38+K41+K42+K47+K48+K52+K40</f>
        <v>12998.86</v>
      </c>
      <c r="L33" s="18"/>
      <c r="M33" s="18">
        <f>M34+M35+M36+M37+M38+M41+M42+M47+M48+M52+M40+M39</f>
        <v>12920.2</v>
      </c>
      <c r="N33" s="18">
        <f>N34+N35+N36+N37+N38+N41+N42+N47+N48+N52+N40+N39</f>
        <v>2782.120000000001</v>
      </c>
      <c r="O33" s="49">
        <f t="shared" si="3"/>
        <v>-10138.08</v>
      </c>
      <c r="P33" s="31">
        <f>N33/M33*100</f>
        <v>21.533103202736807</v>
      </c>
      <c r="Q33" s="31">
        <f>N33-1017.63</f>
        <v>1764.4900000000007</v>
      </c>
      <c r="R33" s="127">
        <f>N33/1017.63</f>
        <v>2.733920973241749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E34-липень!E34</f>
        <v>0</v>
      </c>
      <c r="N34" s="35">
        <f>F34-липень!F34</f>
        <v>-161.76</v>
      </c>
      <c r="O34" s="47">
        <f t="shared" si="3"/>
        <v>-161.76</v>
      </c>
      <c r="P34" s="50" t="e">
        <f>N34/M34*100</f>
        <v>#DIV/0!</v>
      </c>
      <c r="Q34" s="50">
        <f>N34-0</f>
        <v>-161.76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200</v>
      </c>
      <c r="F35" s="143">
        <v>201.37</v>
      </c>
      <c r="G35" s="43">
        <f t="shared" si="0"/>
        <v>1.3700000000000045</v>
      </c>
      <c r="H35" s="35"/>
      <c r="I35" s="50">
        <f t="shared" si="1"/>
        <v>-798.63</v>
      </c>
      <c r="J35" s="50"/>
      <c r="K35" s="50">
        <f>F35-0</f>
        <v>201.37</v>
      </c>
      <c r="L35" s="50" t="e">
        <f>F35/0*100</f>
        <v>#DIV/0!</v>
      </c>
      <c r="M35" s="35">
        <f>E35-липень!E35</f>
        <v>200</v>
      </c>
      <c r="N35" s="35">
        <f>F35-липень!F35</f>
        <v>201.37</v>
      </c>
      <c r="O35" s="47">
        <f t="shared" si="3"/>
        <v>1.3700000000000045</v>
      </c>
      <c r="P35" s="50"/>
      <c r="Q35" s="50">
        <f>N35-0</f>
        <v>201.37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307.2</v>
      </c>
      <c r="G36" s="43">
        <f t="shared" si="0"/>
        <v>67.19999999999999</v>
      </c>
      <c r="H36" s="35"/>
      <c r="I36" s="50">
        <f t="shared" si="1"/>
        <v>67.19999999999999</v>
      </c>
      <c r="J36" s="50"/>
      <c r="K36" s="50">
        <f>F36-255.77</f>
        <v>51.42999999999998</v>
      </c>
      <c r="L36" s="50">
        <f>F36/255.77*100</f>
        <v>120.10790944989638</v>
      </c>
      <c r="M36" s="35">
        <f>E36-липень!E36</f>
        <v>240</v>
      </c>
      <c r="N36" s="35">
        <f>F36-липень!F36</f>
        <v>60.70999999999998</v>
      </c>
      <c r="O36" s="47">
        <f t="shared" si="3"/>
        <v>-179.29000000000002</v>
      </c>
      <c r="P36" s="50"/>
      <c r="Q36" s="50">
        <f>N36-4.23</f>
        <v>56.479999999999976</v>
      </c>
      <c r="R36" s="126">
        <f>N36/4.23</f>
        <v>14.352245862884155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3.5</v>
      </c>
      <c r="F37" s="143">
        <v>0</v>
      </c>
      <c r="G37" s="43">
        <f t="shared" si="0"/>
        <v>-3.5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E37-липень!E37</f>
        <v>0.5</v>
      </c>
      <c r="N37" s="35">
        <f>F37-липень!F37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90</v>
      </c>
      <c r="F38" s="143">
        <v>104.06</v>
      </c>
      <c r="G38" s="43">
        <f t="shared" si="0"/>
        <v>14.060000000000002</v>
      </c>
      <c r="H38" s="35">
        <f>F38/E38*100</f>
        <v>115.62222222222222</v>
      </c>
      <c r="I38" s="50">
        <f t="shared" si="1"/>
        <v>-35.94</v>
      </c>
      <c r="J38" s="50">
        <f t="shared" si="6"/>
        <v>74.32857142857144</v>
      </c>
      <c r="K38" s="50">
        <f>F38-82.36</f>
        <v>21.700000000000003</v>
      </c>
      <c r="L38" s="50">
        <f>F38/82.36*100</f>
        <v>126.34774162214669</v>
      </c>
      <c r="M38" s="35">
        <f>E38-липень!E38</f>
        <v>10</v>
      </c>
      <c r="N38" s="35">
        <f>F38-липень!F38</f>
        <v>13.820000000000007</v>
      </c>
      <c r="O38" s="47">
        <f t="shared" si="3"/>
        <v>3.8200000000000074</v>
      </c>
      <c r="P38" s="50">
        <f>N38/M38*100</f>
        <v>138.20000000000007</v>
      </c>
      <c r="Q38" s="50">
        <f>N38-9.02</f>
        <v>4.800000000000008</v>
      </c>
      <c r="R38" s="126">
        <f>N38/9.02</f>
        <v>1.532150776053216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E39-липень!E39</f>
        <v>0</v>
      </c>
      <c r="N39" s="35">
        <f>F39-липень!F39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6937</v>
      </c>
      <c r="F40" s="143">
        <v>6772.05</v>
      </c>
      <c r="G40" s="43"/>
      <c r="H40" s="35"/>
      <c r="I40" s="50">
        <f t="shared" si="1"/>
        <v>-2227.95</v>
      </c>
      <c r="J40" s="50"/>
      <c r="K40" s="50">
        <f>F40-0</f>
        <v>6772.05</v>
      </c>
      <c r="L40" s="50"/>
      <c r="M40" s="35">
        <f>E40-липень!E40</f>
        <v>6937</v>
      </c>
      <c r="N40" s="35">
        <f>F40-липень!F40</f>
        <v>834.3900000000003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4620</v>
      </c>
      <c r="F41" s="143">
        <v>5864.85</v>
      </c>
      <c r="G41" s="43">
        <f t="shared" si="0"/>
        <v>1244.8500000000004</v>
      </c>
      <c r="H41" s="35">
        <f>F41/E41*100</f>
        <v>126.9448051948052</v>
      </c>
      <c r="I41" s="50">
        <f t="shared" si="1"/>
        <v>-1035.1499999999996</v>
      </c>
      <c r="J41" s="50">
        <f t="shared" si="6"/>
        <v>84.99782608695654</v>
      </c>
      <c r="K41" s="50">
        <f>F41-4735.68</f>
        <v>1129.17</v>
      </c>
      <c r="L41" s="50">
        <f>F41/4735.68*100</f>
        <v>123.84388303263734</v>
      </c>
      <c r="M41" s="35">
        <f>E41-липень!E41</f>
        <v>550</v>
      </c>
      <c r="N41" s="35">
        <f>F41-липень!F41</f>
        <v>723.1100000000006</v>
      </c>
      <c r="O41" s="47">
        <f t="shared" si="3"/>
        <v>173.11000000000058</v>
      </c>
      <c r="P41" s="50">
        <f>N41/M41*100</f>
        <v>131.47454545454556</v>
      </c>
      <c r="Q41" s="50">
        <f>N41-647.49</f>
        <v>75.62000000000057</v>
      </c>
      <c r="R41" s="126">
        <f>N41/647.49</f>
        <v>1.1167894484856917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f>714+4480.7</f>
        <v>5194.7</v>
      </c>
      <c r="F42" s="143">
        <v>5221.43</v>
      </c>
      <c r="G42" s="43">
        <f t="shared" si="0"/>
        <v>26.730000000000473</v>
      </c>
      <c r="H42" s="35">
        <f>F42/E42*100</f>
        <v>100.51456291989913</v>
      </c>
      <c r="I42" s="50">
        <f t="shared" si="1"/>
        <v>-1878.5699999999997</v>
      </c>
      <c r="J42" s="50">
        <f t="shared" si="6"/>
        <v>73.5412676056338</v>
      </c>
      <c r="K42" s="50">
        <f>F42-685.66</f>
        <v>4535.77</v>
      </c>
      <c r="L42" s="50">
        <f>F42/685.66*100</f>
        <v>761.5188285739288</v>
      </c>
      <c r="M42" s="35">
        <f>E42-липень!E42</f>
        <v>4632.7</v>
      </c>
      <c r="N42" s="35">
        <f>F42-липень!F42</f>
        <v>529.25</v>
      </c>
      <c r="O42" s="47">
        <f t="shared" si="3"/>
        <v>-4103.45</v>
      </c>
      <c r="P42" s="50">
        <f>N42/M42*100</f>
        <v>11.424223455004642</v>
      </c>
      <c r="Q42" s="50">
        <f>N42-79.51</f>
        <v>449.74</v>
      </c>
      <c r="R42" s="126">
        <f>N42/79.51</f>
        <v>6.656395421959502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f>630+130</f>
        <v>760</v>
      </c>
      <c r="F43" s="144">
        <v>735.13</v>
      </c>
      <c r="G43" s="135">
        <f t="shared" si="0"/>
        <v>-24.870000000000005</v>
      </c>
      <c r="H43" s="137">
        <f>F43/E43*100</f>
        <v>96.72763157894737</v>
      </c>
      <c r="I43" s="136">
        <f t="shared" si="1"/>
        <v>-364.87</v>
      </c>
      <c r="J43" s="136">
        <f t="shared" si="6"/>
        <v>66.83</v>
      </c>
      <c r="K43" s="136">
        <f>F43-605.31</f>
        <v>129.82000000000005</v>
      </c>
      <c r="L43" s="136">
        <f>F43/605.31*100</f>
        <v>121.44686193851086</v>
      </c>
      <c r="M43" s="35">
        <f>E43-липень!E43</f>
        <v>270</v>
      </c>
      <c r="N43" s="35">
        <f>F43-липень!F43</f>
        <v>61.549999999999955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f>0+50</f>
        <v>50</v>
      </c>
      <c r="F44" s="144">
        <v>45.45</v>
      </c>
      <c r="G44" s="135">
        <f t="shared" si="0"/>
        <v>-4.549999999999997</v>
      </c>
      <c r="H44" s="137"/>
      <c r="I44" s="136">
        <f t="shared" si="1"/>
        <v>-34.55</v>
      </c>
      <c r="J44" s="136"/>
      <c r="K44" s="136">
        <f>F44-0</f>
        <v>45.45</v>
      </c>
      <c r="L44" s="136"/>
      <c r="M44" s="35">
        <f>E44-липень!E44</f>
        <v>50</v>
      </c>
      <c r="N44" s="35">
        <f>F44-липень!F44</f>
        <v>0.020000000000003126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f>0+0.7</f>
        <v>0.7</v>
      </c>
      <c r="F45" s="144">
        <v>0.75</v>
      </c>
      <c r="G45" s="135">
        <f t="shared" si="0"/>
        <v>0.050000000000000044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E45-липень!E45</f>
        <v>0.7</v>
      </c>
      <c r="N45" s="35">
        <f>F45-липень!F45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f>84+4300</f>
        <v>4384</v>
      </c>
      <c r="F46" s="144">
        <v>4440.11</v>
      </c>
      <c r="G46" s="135">
        <f t="shared" si="0"/>
        <v>56.10999999999967</v>
      </c>
      <c r="H46" s="137">
        <f>F46/E46*100</f>
        <v>101.2798813868613</v>
      </c>
      <c r="I46" s="136">
        <f t="shared" si="1"/>
        <v>-1477.8900000000003</v>
      </c>
      <c r="J46" s="136">
        <f t="shared" si="6"/>
        <v>75.02720513687055</v>
      </c>
      <c r="K46" s="136">
        <f>F46-80.35</f>
        <v>4359.759999999999</v>
      </c>
      <c r="L46" s="136">
        <f>F46/80.35*100</f>
        <v>5525.961418792782</v>
      </c>
      <c r="M46" s="35">
        <f>E46-липень!E46</f>
        <v>4312</v>
      </c>
      <c r="N46" s="35">
        <f>F46-липень!F46</f>
        <v>491.37999999999965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E47-липень!E47</f>
        <v>0</v>
      </c>
      <c r="N47" s="35">
        <f>F47-липень!F47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2700</v>
      </c>
      <c r="F48" s="143">
        <v>3192.65</v>
      </c>
      <c r="G48" s="43">
        <f t="shared" si="0"/>
        <v>492.6500000000001</v>
      </c>
      <c r="H48" s="35">
        <f>F48/E48*100</f>
        <v>118.24629629629631</v>
      </c>
      <c r="I48" s="50">
        <f t="shared" si="1"/>
        <v>-1007.3499999999999</v>
      </c>
      <c r="J48" s="50">
        <f>F48/D48*100</f>
        <v>76.01547619047619</v>
      </c>
      <c r="K48" s="50">
        <f>F48-2702.66</f>
        <v>489.99000000000024</v>
      </c>
      <c r="L48" s="50">
        <f>F48/2702.66*100</f>
        <v>118.12991645267996</v>
      </c>
      <c r="M48" s="35">
        <f>E48-липень!E48</f>
        <v>350</v>
      </c>
      <c r="N48" s="35">
        <f>F48-липень!F48</f>
        <v>580.73</v>
      </c>
      <c r="O48" s="47">
        <f t="shared" si="3"/>
        <v>230.73000000000002</v>
      </c>
      <c r="P48" s="50">
        <f aca="true" t="shared" si="7" ref="P48:P53">N48/M48*100</f>
        <v>165.92285714285714</v>
      </c>
      <c r="Q48" s="50">
        <f>N48-277.38</f>
        <v>303.35</v>
      </c>
      <c r="R48" s="126">
        <f>N48/277.38</f>
        <v>2.0936260725358715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E49-липень!E49</f>
        <v>0</v>
      </c>
      <c r="N49" s="35">
        <f>F49-липень!F49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E50-липень!E50</f>
        <v>0</v>
      </c>
      <c r="N50" s="35">
        <f>F50-липень!F50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890.6</v>
      </c>
      <c r="G51" s="135">
        <f t="shared" si="0"/>
        <v>890.6</v>
      </c>
      <c r="H51" s="137"/>
      <c r="I51" s="136">
        <f t="shared" si="1"/>
        <v>890.6</v>
      </c>
      <c r="J51" s="136"/>
      <c r="K51" s="219">
        <f>F51-635.8</f>
        <v>254.80000000000007</v>
      </c>
      <c r="L51" s="219">
        <f>F51/635.8*100</f>
        <v>140.07549543881726</v>
      </c>
      <c r="M51" s="137">
        <f>E51-липень!E51</f>
        <v>0</v>
      </c>
      <c r="N51" s="137">
        <f>F51-липень!F51</f>
        <v>207.39999999999998</v>
      </c>
      <c r="O51" s="138">
        <f t="shared" si="3"/>
        <v>207.39999999999998</v>
      </c>
      <c r="P51" s="136"/>
      <c r="Q51" s="50">
        <f>N51-64.93</f>
        <v>142.46999999999997</v>
      </c>
      <c r="R51" s="126">
        <f>N51/64.93</f>
        <v>3.194209148313568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E52-липень!E52</f>
        <v>0</v>
      </c>
      <c r="N52" s="35">
        <f>F52-липень!F52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17.2</v>
      </c>
      <c r="F53" s="143">
        <v>14.42</v>
      </c>
      <c r="G53" s="43">
        <f t="shared" si="0"/>
        <v>-2.7799999999999994</v>
      </c>
      <c r="H53" s="35">
        <f>F53/E53*100</f>
        <v>83.83720930232559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E53-липень!E53</f>
        <v>2.1999999999999993</v>
      </c>
      <c r="N53" s="35">
        <f>F53-липень!F53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E54-липень!E54</f>
        <v>0</v>
      </c>
      <c r="N54" s="35">
        <f>F54-липень!F54</f>
        <v>0.21</v>
      </c>
      <c r="O54" s="47">
        <f t="shared" si="3"/>
        <v>0.21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433183.49999999994</v>
      </c>
      <c r="F55" s="18">
        <f>F8+F33+F53+F54</f>
        <v>451134.19</v>
      </c>
      <c r="G55" s="44">
        <f>F55-E55</f>
        <v>17950.69000000006</v>
      </c>
      <c r="H55" s="45">
        <f>F55/E55*100</f>
        <v>104.14389975610798</v>
      </c>
      <c r="I55" s="31">
        <f>F55-D55</f>
        <v>-149888.40999999997</v>
      </c>
      <c r="J55" s="31">
        <f>F55/D55*100</f>
        <v>75.06110252759214</v>
      </c>
      <c r="K55" s="31">
        <f>K8+K33+K53+K54</f>
        <v>119863.77600000001</v>
      </c>
      <c r="L55" s="31">
        <f>F55/(F55-K55)*100</f>
        <v>136.18306100827948</v>
      </c>
      <c r="M55" s="18">
        <f>M8+M33+M53+M54</f>
        <v>97825.09999999999</v>
      </c>
      <c r="N55" s="18">
        <f>N8+N33+N53+N54</f>
        <v>65522.20999999999</v>
      </c>
      <c r="O55" s="49">
        <f>N55-M55</f>
        <v>-32302.89</v>
      </c>
      <c r="P55" s="31">
        <f>N55/M55*100</f>
        <v>66.97893485414275</v>
      </c>
      <c r="Q55" s="31">
        <f>N55-34768</f>
        <v>30754.209999999992</v>
      </c>
      <c r="R55" s="171">
        <f>N55/34768</f>
        <v>1.8845550506212607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F60-липень!F60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F61-207.32</f>
        <v>-256.51</v>
      </c>
      <c r="L61" s="53"/>
      <c r="M61" s="35">
        <v>0</v>
      </c>
      <c r="N61" s="36">
        <f>F61-липень!F61</f>
        <v>0</v>
      </c>
      <c r="O61" s="47">
        <f aca="true" t="shared" si="10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-255.54999999999998</v>
      </c>
      <c r="L62" s="54"/>
      <c r="M62" s="55">
        <f>M61</f>
        <v>0</v>
      </c>
      <c r="N62" s="33">
        <f>SUM(N60:N61)</f>
        <v>0</v>
      </c>
      <c r="O62" s="54">
        <f t="shared" si="10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1000</v>
      </c>
      <c r="F64" s="146">
        <v>593.02</v>
      </c>
      <c r="G64" s="43">
        <f t="shared" si="8"/>
        <v>-406.98</v>
      </c>
      <c r="H64" s="35"/>
      <c r="I64" s="53">
        <f t="shared" si="9"/>
        <v>-1906.98</v>
      </c>
      <c r="J64" s="53">
        <f t="shared" si="11"/>
        <v>23.7208</v>
      </c>
      <c r="K64" s="53">
        <f>F64-1754.68</f>
        <v>-1161.66</v>
      </c>
      <c r="L64" s="53">
        <f>F64/1754.68*100</f>
        <v>33.79647571067089</v>
      </c>
      <c r="M64" s="35">
        <f>E64-липень!E64</f>
        <v>600</v>
      </c>
      <c r="N64" s="35">
        <f>F64-липень!F64</f>
        <v>0.03999999999996362</v>
      </c>
      <c r="O64" s="47">
        <f t="shared" si="10"/>
        <v>-599.96</v>
      </c>
      <c r="P64" s="53"/>
      <c r="Q64" s="53">
        <f>N64-0.04</f>
        <v>-3.63806207381856E-14</v>
      </c>
      <c r="R64" s="129">
        <f>N64/0.04</f>
        <v>0.9999999999990905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4733.44</v>
      </c>
      <c r="F65" s="146">
        <v>3758.64</v>
      </c>
      <c r="G65" s="43">
        <f t="shared" si="8"/>
        <v>-974.7999999999997</v>
      </c>
      <c r="H65" s="35">
        <f>F65/E65*100</f>
        <v>79.40609789075175</v>
      </c>
      <c r="I65" s="53">
        <f t="shared" si="9"/>
        <v>-7817.360000000001</v>
      </c>
      <c r="J65" s="53">
        <f t="shared" si="11"/>
        <v>32.46924671734624</v>
      </c>
      <c r="K65" s="53">
        <f>F65-2291.79</f>
        <v>1466.85</v>
      </c>
      <c r="L65" s="53">
        <f>F65/2291.79*100</f>
        <v>164.00455539120077</v>
      </c>
      <c r="M65" s="35">
        <f>E65-липень!E65</f>
        <v>1020.6799999999994</v>
      </c>
      <c r="N65" s="35">
        <f>F65-липень!F65</f>
        <v>178.88999999999987</v>
      </c>
      <c r="O65" s="47">
        <f t="shared" si="10"/>
        <v>-841.7899999999995</v>
      </c>
      <c r="P65" s="53">
        <f>N65/M65*100</f>
        <v>17.52655092683309</v>
      </c>
      <c r="Q65" s="53">
        <f>N65-450.01</f>
        <v>-271.1200000000001</v>
      </c>
      <c r="R65" s="129">
        <f>N65/450.01</f>
        <v>0.3975244994555674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1036.7</v>
      </c>
      <c r="F66" s="146">
        <v>1838.64</v>
      </c>
      <c r="G66" s="43">
        <f t="shared" si="8"/>
        <v>801.94</v>
      </c>
      <c r="H66" s="35">
        <f>F66/E66*100</f>
        <v>177.35506896884345</v>
      </c>
      <c r="I66" s="53">
        <f t="shared" si="9"/>
        <v>-1161.36</v>
      </c>
      <c r="J66" s="53">
        <f t="shared" si="11"/>
        <v>61.288</v>
      </c>
      <c r="K66" s="53">
        <f>F66-864.62</f>
        <v>974.0200000000001</v>
      </c>
      <c r="L66" s="53">
        <f>F66/864.62*100</f>
        <v>212.65295736855498</v>
      </c>
      <c r="M66" s="35">
        <f>E66-липень!E66</f>
        <v>148.10000000000002</v>
      </c>
      <c r="N66" s="35">
        <f>F66-липень!F66</f>
        <v>20</v>
      </c>
      <c r="O66" s="47">
        <f t="shared" si="10"/>
        <v>-128.10000000000002</v>
      </c>
      <c r="P66" s="53">
        <f>N66/M66*100</f>
        <v>13.504388926401079</v>
      </c>
      <c r="Q66" s="53">
        <f>N66-1.05</f>
        <v>18.95</v>
      </c>
      <c r="R66" s="129">
        <f>N66/1.05</f>
        <v>19.047619047619047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6770.139999999999</v>
      </c>
      <c r="F67" s="145">
        <f>F64+F65+F66</f>
        <v>6190.3</v>
      </c>
      <c r="G67" s="55">
        <f t="shared" si="8"/>
        <v>-579.8399999999992</v>
      </c>
      <c r="H67" s="65">
        <f>F67/E67*100</f>
        <v>91.43533220878743</v>
      </c>
      <c r="I67" s="54">
        <f t="shared" si="9"/>
        <v>-10885.7</v>
      </c>
      <c r="J67" s="54">
        <f t="shared" si="11"/>
        <v>36.25146404310143</v>
      </c>
      <c r="K67" s="54">
        <f>K64+K65+K66</f>
        <v>1279.21</v>
      </c>
      <c r="L67" s="54"/>
      <c r="M67" s="55">
        <f>M64+M65+M66</f>
        <v>1768.7799999999993</v>
      </c>
      <c r="N67" s="55">
        <f>N64+N65+N66</f>
        <v>198.92999999999984</v>
      </c>
      <c r="O67" s="54">
        <f t="shared" si="10"/>
        <v>-1569.8499999999995</v>
      </c>
      <c r="P67" s="54">
        <f>N67/M67*100</f>
        <v>11.246735037709604</v>
      </c>
      <c r="Q67" s="54">
        <f>N67-7985.28</f>
        <v>-7786.35</v>
      </c>
      <c r="R67" s="173">
        <f>N67/7985.28</f>
        <v>0.024912088242365935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15</v>
      </c>
      <c r="F68" s="146">
        <v>0.18</v>
      </c>
      <c r="G68" s="43">
        <f t="shared" si="8"/>
        <v>-14.82</v>
      </c>
      <c r="H68" s="35"/>
      <c r="I68" s="53">
        <f t="shared" si="9"/>
        <v>-34.82</v>
      </c>
      <c r="J68" s="53">
        <f t="shared" si="11"/>
        <v>0.5142857142857142</v>
      </c>
      <c r="K68" s="53">
        <f>F68-14.17</f>
        <v>-13.99</v>
      </c>
      <c r="L68" s="53">
        <f>F68/14.17*100</f>
        <v>1.270289343683839</v>
      </c>
      <c r="M68" s="35">
        <f>E68-липень!E68</f>
        <v>1</v>
      </c>
      <c r="N68" s="35">
        <f>F68-липень!F68</f>
        <v>0.09</v>
      </c>
      <c r="O68" s="47">
        <f t="shared" si="10"/>
        <v>-0.91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E69-липень!E69</f>
        <v>0</v>
      </c>
      <c r="N69" s="35">
        <f>F69-липень!F69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F70-0.85</f>
        <v>0.030000000000000027</v>
      </c>
      <c r="L70" s="53">
        <f>F70/0.85*100</f>
        <v>103.5294117647059</v>
      </c>
      <c r="M70" s="35">
        <f>E70-липень!E70</f>
        <v>0</v>
      </c>
      <c r="N70" s="35">
        <f>F70-липень!F70</f>
        <v>0.16000000000000003</v>
      </c>
      <c r="O70" s="47">
        <f>N70-M70</f>
        <v>0.16000000000000003</v>
      </c>
      <c r="P70" s="53"/>
      <c r="Q70" s="53">
        <f>N70-(-0.21)</f>
        <v>0.37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27</v>
      </c>
      <c r="F71" s="145">
        <f>F68+F70+F69</f>
        <v>1.06</v>
      </c>
      <c r="G71" s="55">
        <f>F71-E71</f>
        <v>-25.94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-33.44</v>
      </c>
      <c r="L71" s="54"/>
      <c r="M71" s="55">
        <f>M68+M70+M69</f>
        <v>1</v>
      </c>
      <c r="N71" s="55">
        <f>N68+N70+N69</f>
        <v>0.25</v>
      </c>
      <c r="O71" s="54">
        <f>N71-M71</f>
        <v>-0.75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23.22</v>
      </c>
      <c r="F72" s="146">
        <v>21.06</v>
      </c>
      <c r="G72" s="43">
        <f>F72-E72</f>
        <v>-2.16</v>
      </c>
      <c r="H72" s="35">
        <f>F72/E72*100</f>
        <v>90.69767441860465</v>
      </c>
      <c r="I72" s="53">
        <f>F72-D72</f>
        <v>-20.94</v>
      </c>
      <c r="J72" s="53">
        <f>F72/D72*100</f>
        <v>50.142857142857146</v>
      </c>
      <c r="K72" s="53">
        <f>F72-22.62</f>
        <v>-1.5600000000000023</v>
      </c>
      <c r="L72" s="53">
        <f>F72/22.62*100</f>
        <v>93.10344827586205</v>
      </c>
      <c r="M72" s="35">
        <f>E72-липень!E72</f>
        <v>0.23000000000000043</v>
      </c>
      <c r="N72" s="35">
        <f>F72-липень!F72</f>
        <v>0.509999999999998</v>
      </c>
      <c r="O72" s="47">
        <f>N72-M72</f>
        <v>0.2799999999999976</v>
      </c>
      <c r="P72" s="53">
        <f>N72/M72*100</f>
        <v>221.73913043478132</v>
      </c>
      <c r="Q72" s="53">
        <f>N72-0.45</f>
        <v>0.059999999999998</v>
      </c>
      <c r="R72" s="129">
        <f>N72/0.45</f>
        <v>1.1333333333333289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F73-липень!F73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6820.36</v>
      </c>
      <c r="F74" s="27">
        <f>F62+F72+F67+F71+F73</f>
        <v>6163.43</v>
      </c>
      <c r="G74" s="44">
        <f>F74-E74</f>
        <v>-656.9299999999994</v>
      </c>
      <c r="H74" s="45">
        <f>F74/E74*100</f>
        <v>90.36810373645967</v>
      </c>
      <c r="I74" s="31">
        <f>F74-D74</f>
        <v>-11008.57</v>
      </c>
      <c r="J74" s="31">
        <f>F74/D74*100</f>
        <v>35.89232471465176</v>
      </c>
      <c r="K74" s="31">
        <f>K62+K67+K71+K72</f>
        <v>988.6600000000001</v>
      </c>
      <c r="L74" s="31"/>
      <c r="M74" s="27">
        <f>M62+M72+M67+M71</f>
        <v>1770.0099999999993</v>
      </c>
      <c r="N74" s="27">
        <f>N62+N72+N67+N71+N73</f>
        <v>199.68999999999983</v>
      </c>
      <c r="O74" s="31">
        <f>N74-M74</f>
        <v>-1570.3199999999995</v>
      </c>
      <c r="P74" s="31">
        <f>N74/M74*100</f>
        <v>11.281857164648782</v>
      </c>
      <c r="Q74" s="31">
        <f>N74-8104.96</f>
        <v>-7905.27</v>
      </c>
      <c r="R74" s="127">
        <f>N74/8104.96</f>
        <v>0.02463799944725203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440003.8599999999</v>
      </c>
      <c r="F75" s="27">
        <f>F55+F74</f>
        <v>457297.62</v>
      </c>
      <c r="G75" s="44">
        <f>F75-E75</f>
        <v>17293.760000000068</v>
      </c>
      <c r="H75" s="45">
        <f>F75/E75*100</f>
        <v>103.93036551997523</v>
      </c>
      <c r="I75" s="31">
        <f>F75-D75</f>
        <v>-160896.97999999998</v>
      </c>
      <c r="J75" s="31">
        <f>F75/D75*100</f>
        <v>73.97308549767338</v>
      </c>
      <c r="K75" s="31">
        <f>K55+K74</f>
        <v>120852.43600000002</v>
      </c>
      <c r="L75" s="31">
        <f>F75/(F75-K75)*100</f>
        <v>135.92039409308353</v>
      </c>
      <c r="M75" s="18">
        <f>M55+M74</f>
        <v>99595.10999999999</v>
      </c>
      <c r="N75" s="18">
        <f>N55+N74</f>
        <v>65721.9</v>
      </c>
      <c r="O75" s="31">
        <f>N75-M75</f>
        <v>-33873.20999999999</v>
      </c>
      <c r="P75" s="31">
        <f>N75/M75*100</f>
        <v>65.9890831989643</v>
      </c>
      <c r="Q75" s="31">
        <f>N75-42872.96</f>
        <v>22848.939999999995</v>
      </c>
      <c r="R75" s="127">
        <f>N75/42872.96</f>
        <v>1.532945241009718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42247</v>
      </c>
      <c r="D79" s="34">
        <v>2853.5</v>
      </c>
      <c r="N79" s="236"/>
      <c r="O79" s="236"/>
    </row>
    <row r="80" spans="3:15" ht="15.75">
      <c r="C80" s="111">
        <v>42244</v>
      </c>
      <c r="D80" s="34">
        <v>8323.9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42243</v>
      </c>
      <c r="D81" s="34">
        <v>4177.3</v>
      </c>
      <c r="F81" s="90"/>
      <c r="G81" s="228"/>
      <c r="H81" s="228"/>
      <c r="I81" s="177"/>
      <c r="J81" s="235"/>
      <c r="K81" s="235"/>
      <c r="L81" s="235"/>
      <c r="M81" s="235"/>
      <c r="N81" s="236"/>
      <c r="O81" s="236"/>
    </row>
    <row r="82" spans="3:13" ht="15.75" customHeight="1">
      <c r="C82" s="111"/>
      <c r="F82" s="90"/>
      <c r="G82" s="237"/>
      <c r="H82" s="237"/>
      <c r="I82" s="221"/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2162.07</v>
      </c>
      <c r="E83" s="220"/>
      <c r="F83" s="222"/>
      <c r="G83" s="228"/>
      <c r="H83" s="228"/>
      <c r="I83" s="223"/>
      <c r="J83" s="234"/>
      <c r="K83" s="234"/>
      <c r="L83" s="234"/>
      <c r="M83" s="234"/>
    </row>
    <row r="84" spans="6:12" ht="9.75" customHeight="1">
      <c r="F84" s="90"/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F85" s="90"/>
      <c r="G85" s="228"/>
      <c r="H85" s="228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2" top="0.25" bottom="0.26" header="0.14" footer="0.17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G4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3" sqref="N3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289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285</v>
      </c>
      <c r="N3" s="262" t="s">
        <v>286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282</v>
      </c>
      <c r="F4" s="245" t="s">
        <v>116</v>
      </c>
      <c r="G4" s="247" t="s">
        <v>283</v>
      </c>
      <c r="H4" s="249" t="s">
        <v>284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290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287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 aca="true" t="shared" si="0" ref="G8:G54">F8-E8</f>
        <v>38598.830000000016</v>
      </c>
      <c r="H8" s="45">
        <f>F8/E8*100</f>
        <v>111.76171804296145</v>
      </c>
      <c r="I8" s="31">
        <f aca="true" t="shared" si="1" ref="I8:I54">F8-D8</f>
        <v>-205516.77000000002</v>
      </c>
      <c r="J8" s="31">
        <f aca="true" t="shared" si="2" ref="J8:J14">F8/D8*100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 aca="true" t="shared" si="3" ref="O8:O54">N8-M8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 t="shared" si="0"/>
        <v>15129.790000000008</v>
      </c>
      <c r="H9" s="35">
        <f aca="true" t="shared" si="4" ref="H9:H32">F9/E9*100</f>
        <v>108.0347405122497</v>
      </c>
      <c r="I9" s="50">
        <f t="shared" si="1"/>
        <v>-109255.56</v>
      </c>
      <c r="J9" s="50">
        <f t="shared" si="2"/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 t="shared" si="3"/>
        <v>3908.720000000001</v>
      </c>
      <c r="P9" s="50">
        <f aca="true" t="shared" si="5" ref="P9:P32">N9/M9*100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180069.97</v>
      </c>
      <c r="G10" s="135">
        <f t="shared" si="0"/>
        <v>14839.720000000001</v>
      </c>
      <c r="H10" s="137">
        <f t="shared" si="4"/>
        <v>108.9812367892683</v>
      </c>
      <c r="I10" s="136">
        <f t="shared" si="1"/>
        <v>-60340.03</v>
      </c>
      <c r="J10" s="136">
        <f t="shared" si="2"/>
        <v>74.90119795349611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 t="shared" si="3"/>
        <v>4107.070000000007</v>
      </c>
      <c r="P10" s="136">
        <f t="shared" si="5"/>
        <v>117.30312605325248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 t="shared" si="0"/>
        <v>-1916.6100000000006</v>
      </c>
      <c r="H11" s="137">
        <f t="shared" si="4"/>
        <v>84.91808309726156</v>
      </c>
      <c r="I11" s="136">
        <f t="shared" si="1"/>
        <v>-12908.61</v>
      </c>
      <c r="J11" s="136">
        <f t="shared" si="2"/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 t="shared" si="3"/>
        <v>-341.71000000000095</v>
      </c>
      <c r="P11" s="136">
        <f t="shared" si="5"/>
        <v>82.20260416666662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 t="shared" si="0"/>
        <v>223.92000000000007</v>
      </c>
      <c r="H12" s="137">
        <f t="shared" si="4"/>
        <v>107.91516436903498</v>
      </c>
      <c r="I12" s="136">
        <f t="shared" si="1"/>
        <v>-2747.08</v>
      </c>
      <c r="J12" s="136">
        <f t="shared" si="2"/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 t="shared" si="3"/>
        <v>130.38999999999987</v>
      </c>
      <c r="P12" s="136">
        <f t="shared" si="5"/>
        <v>139.51212121212117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 t="shared" si="0"/>
        <v>-1053.3799999999997</v>
      </c>
      <c r="H13" s="137">
        <f t="shared" si="4"/>
        <v>79.39961669339384</v>
      </c>
      <c r="I13" s="136">
        <f t="shared" si="1"/>
        <v>-4339.98</v>
      </c>
      <c r="J13" s="136">
        <f t="shared" si="2"/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 t="shared" si="3"/>
        <v>-493.3899999999994</v>
      </c>
      <c r="P13" s="136">
        <f t="shared" si="5"/>
        <v>72.12485875706217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 t="shared" si="3"/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 t="shared" si="3"/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 t="shared" si="0"/>
        <v>10901.86</v>
      </c>
      <c r="H19" s="35">
        <f t="shared" si="4"/>
        <v>141.57405306460993</v>
      </c>
      <c r="I19" s="50">
        <f t="shared" si="1"/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 t="shared" si="3"/>
        <v>4288.116000000002</v>
      </c>
      <c r="P19" s="50">
        <f t="shared" si="5"/>
        <v>257.6513235294118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 t="shared" si="0"/>
        <v>13497.290000000008</v>
      </c>
      <c r="H20" s="35">
        <f t="shared" si="4"/>
        <v>112.33083043348375</v>
      </c>
      <c r="I20" s="50">
        <f t="shared" si="1"/>
        <v>-66913.01</v>
      </c>
      <c r="J20" s="178">
        <f aca="true" t="shared" si="6" ref="J20:J46">F20/D20*100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 t="shared" si="3"/>
        <v>6808.838999999993</v>
      </c>
      <c r="P20" s="50">
        <f t="shared" si="5"/>
        <v>143.35790700340038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 t="shared" si="0"/>
        <v>10363.979999999996</v>
      </c>
      <c r="H21" s="35">
        <f t="shared" si="4"/>
        <v>118.02331000709525</v>
      </c>
      <c r="I21" s="50">
        <f t="shared" si="1"/>
        <v>-42432.82000000001</v>
      </c>
      <c r="J21" s="178">
        <f t="shared" si="6"/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 t="shared" si="3"/>
        <v>3963.863999999987</v>
      </c>
      <c r="P21" s="50">
        <f t="shared" si="5"/>
        <v>143.33986442160494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 t="shared" si="0"/>
        <v>7876.79</v>
      </c>
      <c r="H22" s="137">
        <f t="shared" si="4"/>
        <v>1459.9430248618783</v>
      </c>
      <c r="I22" s="136">
        <f t="shared" si="1"/>
        <v>-2244.01</v>
      </c>
      <c r="J22" s="136">
        <f t="shared" si="6"/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 t="shared" si="3"/>
        <v>3285.8869999999997</v>
      </c>
      <c r="P22" s="136">
        <f t="shared" si="5"/>
        <v>1642.6699530516426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 t="shared" si="0"/>
        <v>398.20000000000005</v>
      </c>
      <c r="H23" s="137"/>
      <c r="I23" s="136">
        <f t="shared" si="1"/>
        <v>-1326.8</v>
      </c>
      <c r="J23" s="136">
        <f t="shared" si="6"/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 t="shared" si="3"/>
        <v>437.52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 t="shared" si="0"/>
        <v>2088.989999999998</v>
      </c>
      <c r="H24" s="137">
        <f t="shared" si="4"/>
        <v>103.694123680348</v>
      </c>
      <c r="I24" s="136">
        <f t="shared" si="1"/>
        <v>-38862.01</v>
      </c>
      <c r="J24" s="136">
        <f t="shared" si="6"/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 t="shared" si="3"/>
        <v>240.45699999999488</v>
      </c>
      <c r="P24" s="136">
        <f t="shared" si="5"/>
        <v>102.7299841053587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 t="shared" si="0"/>
        <v>11.659999999999997</v>
      </c>
      <c r="H25" s="35">
        <f t="shared" si="4"/>
        <v>138.86666666666665</v>
      </c>
      <c r="I25" s="50">
        <f t="shared" si="1"/>
        <v>-28.340000000000003</v>
      </c>
      <c r="J25" s="178">
        <f t="shared" si="6"/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 t="shared" si="3"/>
        <v>-3.5640000000000036</v>
      </c>
      <c r="P25" s="50">
        <f t="shared" si="5"/>
        <v>54.30769230769227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 t="shared" si="0"/>
        <v>-530.36</v>
      </c>
      <c r="H26" s="35"/>
      <c r="I26" s="50">
        <f t="shared" si="1"/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 t="shared" si="3"/>
        <v>-127.00100000000003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 t="shared" si="0"/>
        <v>3652.010000000002</v>
      </c>
      <c r="H27" s="35">
        <f t="shared" si="4"/>
        <v>107.03303708125908</v>
      </c>
      <c r="I27" s="50">
        <f t="shared" si="1"/>
        <v>-23921.489999999998</v>
      </c>
      <c r="J27" s="178">
        <f t="shared" si="6"/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 t="shared" si="3"/>
        <v>2975.540000000001</v>
      </c>
      <c r="P27" s="50">
        <f t="shared" si="5"/>
        <v>145.42809160305345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 t="shared" si="0"/>
        <v>838.8600000000006</v>
      </c>
      <c r="H29" s="137">
        <f t="shared" si="4"/>
        <v>106.85343137254904</v>
      </c>
      <c r="I29" s="136">
        <f t="shared" si="1"/>
        <v>-3421.1399999999994</v>
      </c>
      <c r="J29" s="136">
        <f t="shared" si="6"/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 t="shared" si="3"/>
        <v>455.7000000000007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 t="shared" si="0"/>
        <v>2804.540000000001</v>
      </c>
      <c r="H30" s="137">
        <f t="shared" si="4"/>
        <v>107.06673553979313</v>
      </c>
      <c r="I30" s="136">
        <f t="shared" si="1"/>
        <v>-9508.96</v>
      </c>
      <c r="J30" s="136">
        <f t="shared" si="6"/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 t="shared" si="3"/>
        <v>2518.1900000000023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 t="shared" si="3"/>
        <v>1.6300000000000008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 t="shared" si="0"/>
        <v>27.059999999999945</v>
      </c>
      <c r="H32" s="35">
        <f t="shared" si="4"/>
        <v>100.67616191904048</v>
      </c>
      <c r="I32" s="50">
        <f t="shared" si="1"/>
        <v>-3470.94</v>
      </c>
      <c r="J32" s="178">
        <f t="shared" si="6"/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 t="shared" si="3"/>
        <v>1.0599999999999454</v>
      </c>
      <c r="P32" s="50">
        <f t="shared" si="5"/>
        <v>114.72222222222183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 t="shared" si="0"/>
        <v>11655.23</v>
      </c>
      <c r="H33" s="45">
        <f>F33/E33*100</f>
        <v>262.5555090655509</v>
      </c>
      <c r="I33" s="31">
        <f t="shared" si="1"/>
        <v>-9881.869999999999</v>
      </c>
      <c r="J33" s="31">
        <f t="shared" si="6"/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 t="shared" si="3"/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 t="shared" si="0"/>
        <v>246.49</v>
      </c>
      <c r="H36" s="35"/>
      <c r="I36" s="50">
        <f t="shared" si="1"/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 t="shared" si="3"/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 t="shared" si="0"/>
        <v>10.239999999999995</v>
      </c>
      <c r="H38" s="35">
        <f>F38/E38*100</f>
        <v>112.79999999999998</v>
      </c>
      <c r="I38" s="50">
        <f t="shared" si="1"/>
        <v>-49.760000000000005</v>
      </c>
      <c r="J38" s="50">
        <f t="shared" si="6"/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 t="shared" si="3"/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 t="shared" si="1"/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 t="shared" si="0"/>
        <v>4130.18</v>
      </c>
      <c r="H42" s="35">
        <f>F42/E42*100</f>
        <v>834.9074733096085</v>
      </c>
      <c r="I42" s="50">
        <f t="shared" si="1"/>
        <v>-2407.8199999999997</v>
      </c>
      <c r="J42" s="50">
        <f t="shared" si="6"/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 t="shared" si="3"/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 t="shared" si="0"/>
        <v>183.58000000000004</v>
      </c>
      <c r="H43" s="137">
        <f>F43/E43*100</f>
        <v>137.465306122449</v>
      </c>
      <c r="I43" s="136">
        <f t="shared" si="1"/>
        <v>-296.41999999999996</v>
      </c>
      <c r="J43" s="136">
        <f t="shared" si="6"/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 t="shared" si="0"/>
        <v>3876.73</v>
      </c>
      <c r="H46" s="137">
        <f>F46/E46*100</f>
        <v>5484.347222222223</v>
      </c>
      <c r="I46" s="136">
        <f t="shared" si="1"/>
        <v>3818.73</v>
      </c>
      <c r="J46" s="136">
        <f t="shared" si="6"/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 t="shared" si="0"/>
        <v>261.9200000000001</v>
      </c>
      <c r="H48" s="35">
        <f>F48/E48*100</f>
        <v>111.14553191489362</v>
      </c>
      <c r="I48" s="50">
        <f t="shared" si="1"/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 t="shared" si="3"/>
        <v>5.769999999999982</v>
      </c>
      <c r="P48" s="50">
        <f aca="true" t="shared" si="7" ref="P48:P53">N48/M48*100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683.2</v>
      </c>
      <c r="G51" s="135">
        <f t="shared" si="0"/>
        <v>683.2</v>
      </c>
      <c r="H51" s="137"/>
      <c r="I51" s="136">
        <f t="shared" si="1"/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 t="shared" si="3"/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 aca="true" t="shared" si="10" ref="O61:O68">N61-M61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 t="shared" si="10"/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 t="shared" si="8"/>
        <v>-133.01000000000022</v>
      </c>
      <c r="H65" s="35">
        <f>F65/E65*100</f>
        <v>96.41748995356554</v>
      </c>
      <c r="I65" s="53">
        <f t="shared" si="9"/>
        <v>-7996.25</v>
      </c>
      <c r="J65" s="53">
        <f t="shared" si="11"/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 t="shared" si="10"/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 t="shared" si="8"/>
        <v>990.0099999999993</v>
      </c>
      <c r="H67" s="65">
        <f>F67/E67*100</f>
        <v>119.79481581009964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 t="shared" si="10"/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 t="shared" si="8"/>
        <v>-13.91</v>
      </c>
      <c r="H68" s="35"/>
      <c r="I68" s="53">
        <f t="shared" si="9"/>
        <v>-34.91</v>
      </c>
      <c r="J68" s="53">
        <f t="shared" si="11"/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 t="shared" si="10"/>
        <v>0.09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36"/>
      <c r="O79" s="236"/>
    </row>
    <row r="80" spans="3:15" ht="15.75">
      <c r="C80" s="111">
        <v>42215</v>
      </c>
      <c r="D80" s="34">
        <v>7239.9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42214</v>
      </c>
      <c r="D81" s="34">
        <v>4823.1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3:13" ht="15.75" customHeight="1">
      <c r="C82" s="111"/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24842.96012</v>
      </c>
      <c r="E83" s="73"/>
      <c r="F83" s="156" t="s">
        <v>147</v>
      </c>
      <c r="G83" s="265" t="s">
        <v>149</v>
      </c>
      <c r="H83" s="265"/>
      <c r="I83" s="107">
        <v>15933.22791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1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26" sqref="H2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70" t="s">
        <v>280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117"/>
      <c r="R1" s="118"/>
    </row>
    <row r="2" spans="2:18" s="1" customFormat="1" ht="15.75" customHeight="1">
      <c r="B2" s="252"/>
      <c r="C2" s="252"/>
      <c r="D2" s="252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277</v>
      </c>
      <c r="N3" s="262" t="s">
        <v>278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279</v>
      </c>
      <c r="F4" s="268" t="s">
        <v>116</v>
      </c>
      <c r="G4" s="247" t="s">
        <v>275</v>
      </c>
      <c r="H4" s="249" t="s">
        <v>276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281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69"/>
      <c r="G5" s="248"/>
      <c r="H5" s="250"/>
      <c r="I5" s="243"/>
      <c r="J5" s="242"/>
      <c r="K5" s="238" t="s">
        <v>288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36"/>
      <c r="O79" s="236"/>
    </row>
    <row r="80" spans="3:15" ht="15.75">
      <c r="C80" s="111">
        <v>42181</v>
      </c>
      <c r="D80" s="34">
        <v>8722.4</v>
      </c>
      <c r="F80" s="217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42180</v>
      </c>
      <c r="D81" s="34">
        <v>4146.6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3:13" ht="15.75" customHeight="1">
      <c r="C82" s="111"/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152943.93305000002</v>
      </c>
      <c r="E83" s="73"/>
      <c r="F83" s="218" t="s">
        <v>147</v>
      </c>
      <c r="G83" s="265" t="s">
        <v>149</v>
      </c>
      <c r="H83" s="265"/>
      <c r="I83" s="107">
        <v>144034.20084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5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N55" sqref="N5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274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266</v>
      </c>
      <c r="N3" s="262" t="s">
        <v>267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262</v>
      </c>
      <c r="F4" s="245" t="s">
        <v>116</v>
      </c>
      <c r="G4" s="247" t="s">
        <v>263</v>
      </c>
      <c r="H4" s="249" t="s">
        <v>264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273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265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36"/>
      <c r="O79" s="236"/>
    </row>
    <row r="80" spans="3:15" ht="15.75">
      <c r="C80" s="111">
        <v>42152</v>
      </c>
      <c r="D80" s="34">
        <v>5845.4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42151</v>
      </c>
      <c r="D81" s="34">
        <v>3158.7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7:13" ht="15.75" customHeight="1"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153606.78</v>
      </c>
      <c r="E83" s="73"/>
      <c r="F83" s="156" t="s">
        <v>147</v>
      </c>
      <c r="G83" s="265" t="s">
        <v>149</v>
      </c>
      <c r="H83" s="265"/>
      <c r="I83" s="107">
        <v>144697.05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F7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259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240</v>
      </c>
      <c r="N3" s="262" t="s">
        <v>241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237</v>
      </c>
      <c r="F4" s="271" t="s">
        <v>116</v>
      </c>
      <c r="G4" s="247" t="s">
        <v>238</v>
      </c>
      <c r="H4" s="249" t="s">
        <v>239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260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72"/>
      <c r="G5" s="248"/>
      <c r="H5" s="250"/>
      <c r="I5" s="243"/>
      <c r="J5" s="242"/>
      <c r="K5" s="238" t="s">
        <v>242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40"/>
      <c r="H103" s="240"/>
      <c r="I103" s="240"/>
      <c r="J103" s="240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36"/>
      <c r="O104" s="236"/>
    </row>
    <row r="105" spans="3:15" ht="15.75">
      <c r="C105" s="111">
        <v>42123</v>
      </c>
      <c r="D105" s="34">
        <v>7959.6</v>
      </c>
      <c r="F105" s="201" t="s">
        <v>166</v>
      </c>
      <c r="G105" s="228"/>
      <c r="H105" s="228"/>
      <c r="I105" s="177"/>
      <c r="J105" s="234"/>
      <c r="K105" s="234"/>
      <c r="L105" s="234"/>
      <c r="M105" s="234"/>
      <c r="N105" s="236"/>
      <c r="O105" s="236"/>
    </row>
    <row r="106" spans="3:15" ht="15.75" customHeight="1">
      <c r="C106" s="111">
        <v>42122</v>
      </c>
      <c r="D106" s="34">
        <v>4962.7</v>
      </c>
      <c r="G106" s="265" t="s">
        <v>151</v>
      </c>
      <c r="H106" s="265"/>
      <c r="I106" s="106">
        <v>8909.73221</v>
      </c>
      <c r="J106" s="235"/>
      <c r="K106" s="235"/>
      <c r="L106" s="235"/>
      <c r="M106" s="235"/>
      <c r="N106" s="236"/>
      <c r="O106" s="236"/>
    </row>
    <row r="107" spans="7:13" ht="15.75" customHeight="1">
      <c r="G107" s="266" t="s">
        <v>234</v>
      </c>
      <c r="H107" s="267"/>
      <c r="I107" s="103">
        <v>0</v>
      </c>
      <c r="J107" s="234"/>
      <c r="K107" s="234"/>
      <c r="L107" s="234"/>
      <c r="M107" s="234"/>
    </row>
    <row r="108" spans="2:13" ht="18.75" customHeight="1">
      <c r="B108" s="232" t="s">
        <v>160</v>
      </c>
      <c r="C108" s="233"/>
      <c r="D108" s="108">
        <v>154856.06924</v>
      </c>
      <c r="E108" s="73"/>
      <c r="F108" s="202" t="s">
        <v>147</v>
      </c>
      <c r="G108" s="265" t="s">
        <v>149</v>
      </c>
      <c r="H108" s="265"/>
      <c r="I108" s="107">
        <v>145946.33703</v>
      </c>
      <c r="J108" s="234"/>
      <c r="K108" s="234"/>
      <c r="L108" s="234"/>
      <c r="M108" s="234"/>
    </row>
    <row r="109" spans="7:12" ht="9.75" customHeight="1">
      <c r="G109" s="228"/>
      <c r="H109" s="228"/>
      <c r="I109" s="90"/>
      <c r="J109" s="91"/>
      <c r="K109" s="91"/>
      <c r="L109" s="91"/>
    </row>
    <row r="110" spans="2:12" ht="22.5" customHeight="1" hidden="1">
      <c r="B110" s="229" t="s">
        <v>167</v>
      </c>
      <c r="C110" s="230"/>
      <c r="D110" s="110">
        <v>0</v>
      </c>
      <c r="E110" s="70" t="s">
        <v>104</v>
      </c>
      <c r="G110" s="228"/>
      <c r="H110" s="228"/>
      <c r="I110" s="90"/>
      <c r="J110" s="91"/>
      <c r="K110" s="91"/>
      <c r="L110" s="91"/>
    </row>
    <row r="111" spans="4:15" ht="15.75">
      <c r="D111" s="105"/>
      <c r="N111" s="228"/>
      <c r="O111" s="228"/>
    </row>
    <row r="112" spans="4:15" ht="15.75">
      <c r="D112" s="104"/>
      <c r="I112" s="34"/>
      <c r="N112" s="231"/>
      <c r="O112" s="231"/>
    </row>
    <row r="113" spans="14:15" ht="15.75">
      <c r="N113" s="228"/>
      <c r="O113" s="228"/>
    </row>
    <row r="117" ht="15.75">
      <c r="E117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G106:H106"/>
    <mergeCell ref="J106:M106"/>
    <mergeCell ref="N106:O106"/>
    <mergeCell ref="G107:H107"/>
    <mergeCell ref="J107:M107"/>
    <mergeCell ref="B108:C108"/>
    <mergeCell ref="G108:H108"/>
    <mergeCell ref="J108:M108"/>
    <mergeCell ref="G109:H109"/>
    <mergeCell ref="N113:O113"/>
    <mergeCell ref="B110:C110"/>
    <mergeCell ref="G110:H110"/>
    <mergeCell ref="N111:O111"/>
    <mergeCell ref="N112:O112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9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235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231</v>
      </c>
      <c r="N3" s="262" t="s">
        <v>232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228</v>
      </c>
      <c r="F4" s="245" t="s">
        <v>116</v>
      </c>
      <c r="G4" s="247" t="s">
        <v>229</v>
      </c>
      <c r="H4" s="249" t="s">
        <v>230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236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233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40"/>
      <c r="H104" s="240"/>
      <c r="I104" s="240"/>
      <c r="J104" s="240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36"/>
      <c r="O105" s="236"/>
    </row>
    <row r="106" spans="3:15" ht="15.75">
      <c r="C106" s="111">
        <v>42093</v>
      </c>
      <c r="D106" s="34">
        <v>8025</v>
      </c>
      <c r="F106" s="155" t="s">
        <v>166</v>
      </c>
      <c r="G106" s="228"/>
      <c r="H106" s="228"/>
      <c r="I106" s="177"/>
      <c r="J106" s="234"/>
      <c r="K106" s="234"/>
      <c r="L106" s="234"/>
      <c r="M106" s="234"/>
      <c r="N106" s="236"/>
      <c r="O106" s="236"/>
    </row>
    <row r="107" spans="3:15" ht="15.75" customHeight="1">
      <c r="C107" s="111">
        <v>42090</v>
      </c>
      <c r="D107" s="34">
        <v>4282.6</v>
      </c>
      <c r="G107" s="265" t="s">
        <v>151</v>
      </c>
      <c r="H107" s="265"/>
      <c r="I107" s="106">
        <f>8909732.21/1000</f>
        <v>8909.73221</v>
      </c>
      <c r="J107" s="235"/>
      <c r="K107" s="235"/>
      <c r="L107" s="235"/>
      <c r="M107" s="235"/>
      <c r="N107" s="236"/>
      <c r="O107" s="236"/>
    </row>
    <row r="108" spans="7:13" ht="15.75" customHeight="1">
      <c r="G108" s="266" t="s">
        <v>234</v>
      </c>
      <c r="H108" s="267"/>
      <c r="I108" s="103">
        <v>0</v>
      </c>
      <c r="J108" s="234"/>
      <c r="K108" s="234"/>
      <c r="L108" s="234"/>
      <c r="M108" s="234"/>
    </row>
    <row r="109" spans="2:13" ht="18.75" customHeight="1">
      <c r="B109" s="232" t="s">
        <v>160</v>
      </c>
      <c r="C109" s="233"/>
      <c r="D109" s="108">
        <f>147433239.77/1000</f>
        <v>147433.23977000001</v>
      </c>
      <c r="E109" s="73"/>
      <c r="F109" s="156" t="s">
        <v>147</v>
      </c>
      <c r="G109" s="265" t="s">
        <v>149</v>
      </c>
      <c r="H109" s="265"/>
      <c r="I109" s="107">
        <f>138523507.56/1000</f>
        <v>138523.50756</v>
      </c>
      <c r="J109" s="234"/>
      <c r="K109" s="234"/>
      <c r="L109" s="234"/>
      <c r="M109" s="234"/>
    </row>
    <row r="110" spans="7:12" ht="9.75" customHeight="1">
      <c r="G110" s="228"/>
      <c r="H110" s="228"/>
      <c r="I110" s="90"/>
      <c r="J110" s="91"/>
      <c r="K110" s="91"/>
      <c r="L110" s="91"/>
    </row>
    <row r="111" spans="2:12" ht="22.5" customHeight="1" hidden="1">
      <c r="B111" s="229" t="s">
        <v>167</v>
      </c>
      <c r="C111" s="230"/>
      <c r="D111" s="110">
        <v>0</v>
      </c>
      <c r="E111" s="70" t="s">
        <v>104</v>
      </c>
      <c r="G111" s="228"/>
      <c r="H111" s="228"/>
      <c r="I111" s="90"/>
      <c r="J111" s="91"/>
      <c r="K111" s="91"/>
      <c r="L111" s="91"/>
    </row>
    <row r="112" spans="4:15" ht="15.75">
      <c r="D112" s="105"/>
      <c r="N112" s="228"/>
      <c r="O112" s="228"/>
    </row>
    <row r="113" spans="4:15" ht="15.75">
      <c r="D113" s="104"/>
      <c r="I113" s="34"/>
      <c r="N113" s="231"/>
      <c r="O113" s="231"/>
    </row>
    <row r="114" spans="14:15" ht="15.75">
      <c r="N114" s="228"/>
      <c r="O114" s="228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F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227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205</v>
      </c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221</v>
      </c>
      <c r="N3" s="262" t="s">
        <v>202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199</v>
      </c>
      <c r="F4" s="245" t="s">
        <v>116</v>
      </c>
      <c r="G4" s="247" t="s">
        <v>200</v>
      </c>
      <c r="H4" s="249" t="s">
        <v>201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226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224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40"/>
      <c r="H104" s="240"/>
      <c r="I104" s="240"/>
      <c r="J104" s="240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36"/>
      <c r="O105" s="236"/>
    </row>
    <row r="106" spans="3:15" ht="15.75">
      <c r="C106" s="111">
        <v>42061</v>
      </c>
      <c r="D106" s="34">
        <v>6003.3</v>
      </c>
      <c r="F106" s="155" t="s">
        <v>166</v>
      </c>
      <c r="G106" s="228"/>
      <c r="H106" s="228"/>
      <c r="I106" s="177"/>
      <c r="J106" s="234"/>
      <c r="K106" s="234"/>
      <c r="L106" s="234"/>
      <c r="M106" s="234"/>
      <c r="N106" s="236"/>
      <c r="O106" s="236"/>
    </row>
    <row r="107" spans="3:15" ht="15.75" customHeight="1">
      <c r="C107" s="111">
        <v>42060</v>
      </c>
      <c r="D107" s="34">
        <v>1551.3</v>
      </c>
      <c r="G107" s="265" t="s">
        <v>151</v>
      </c>
      <c r="H107" s="265"/>
      <c r="I107" s="106">
        <v>8909.73221</v>
      </c>
      <c r="J107" s="235"/>
      <c r="K107" s="235"/>
      <c r="L107" s="235"/>
      <c r="M107" s="235"/>
      <c r="N107" s="236"/>
      <c r="O107" s="236"/>
    </row>
    <row r="108" spans="7:13" ht="15.75" customHeight="1">
      <c r="G108" s="273" t="s">
        <v>155</v>
      </c>
      <c r="H108" s="273"/>
      <c r="I108" s="103">
        <v>0</v>
      </c>
      <c r="J108" s="234"/>
      <c r="K108" s="234"/>
      <c r="L108" s="234"/>
      <c r="M108" s="234"/>
    </row>
    <row r="109" spans="2:13" ht="18.75" customHeight="1">
      <c r="B109" s="232" t="s">
        <v>160</v>
      </c>
      <c r="C109" s="233"/>
      <c r="D109" s="108">
        <f>138305956.27/1000</f>
        <v>138305.95627000002</v>
      </c>
      <c r="E109" s="73"/>
      <c r="F109" s="156" t="s">
        <v>147</v>
      </c>
      <c r="G109" s="265" t="s">
        <v>149</v>
      </c>
      <c r="H109" s="265"/>
      <c r="I109" s="107">
        <v>129396.23</v>
      </c>
      <c r="J109" s="234"/>
      <c r="K109" s="234"/>
      <c r="L109" s="234"/>
      <c r="M109" s="234"/>
    </row>
    <row r="110" spans="7:12" ht="9.75" customHeight="1">
      <c r="G110" s="228"/>
      <c r="H110" s="228"/>
      <c r="I110" s="90"/>
      <c r="J110" s="91"/>
      <c r="K110" s="91"/>
      <c r="L110" s="91"/>
    </row>
    <row r="111" spans="2:12" ht="22.5" customHeight="1" hidden="1">
      <c r="B111" s="229" t="s">
        <v>167</v>
      </c>
      <c r="C111" s="230"/>
      <c r="D111" s="110">
        <v>0</v>
      </c>
      <c r="E111" s="70" t="s">
        <v>104</v>
      </c>
      <c r="G111" s="228"/>
      <c r="H111" s="228"/>
      <c r="I111" s="90"/>
      <c r="J111" s="91"/>
      <c r="K111" s="91"/>
      <c r="L111" s="91"/>
    </row>
    <row r="112" spans="4:15" ht="15.75">
      <c r="D112" s="105"/>
      <c r="N112" s="228"/>
      <c r="O112" s="228"/>
    </row>
    <row r="113" spans="4:15" ht="15.75">
      <c r="D113" s="104"/>
      <c r="I113" s="34"/>
      <c r="N113" s="231"/>
      <c r="O113" s="231"/>
    </row>
    <row r="114" spans="14:15" ht="15.75">
      <c r="N114" s="228"/>
      <c r="O114" s="228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193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205</v>
      </c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220</v>
      </c>
      <c r="N3" s="262" t="s">
        <v>175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219</v>
      </c>
      <c r="F4" s="245" t="s">
        <v>116</v>
      </c>
      <c r="G4" s="247" t="s">
        <v>173</v>
      </c>
      <c r="H4" s="274" t="s">
        <v>174</v>
      </c>
      <c r="I4" s="276" t="s">
        <v>217</v>
      </c>
      <c r="J4" s="279" t="s">
        <v>218</v>
      </c>
      <c r="K4" s="116" t="s">
        <v>172</v>
      </c>
      <c r="L4" s="121" t="s">
        <v>171</v>
      </c>
      <c r="M4" s="241"/>
      <c r="N4" s="226" t="s">
        <v>194</v>
      </c>
      <c r="O4" s="276" t="s">
        <v>136</v>
      </c>
      <c r="P4" s="262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75"/>
      <c r="I5" s="277"/>
      <c r="J5" s="280"/>
      <c r="K5" s="238" t="s">
        <v>188</v>
      </c>
      <c r="L5" s="239"/>
      <c r="M5" s="242"/>
      <c r="N5" s="227"/>
      <c r="O5" s="277"/>
      <c r="P5" s="262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40"/>
      <c r="H102" s="240"/>
      <c r="I102" s="240"/>
      <c r="J102" s="240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36"/>
      <c r="O103" s="236"/>
    </row>
    <row r="104" spans="3:15" ht="15.75">
      <c r="C104" s="111">
        <v>42033</v>
      </c>
      <c r="D104" s="34">
        <v>2896.5</v>
      </c>
      <c r="F104" s="155" t="s">
        <v>166</v>
      </c>
      <c r="G104" s="265" t="s">
        <v>151</v>
      </c>
      <c r="H104" s="265"/>
      <c r="I104" s="106">
        <f>'січень '!I139</f>
        <v>8909.733</v>
      </c>
      <c r="J104" s="278" t="s">
        <v>161</v>
      </c>
      <c r="K104" s="278"/>
      <c r="L104" s="278"/>
      <c r="M104" s="278"/>
      <c r="N104" s="236"/>
      <c r="O104" s="236"/>
    </row>
    <row r="105" spans="3:15" ht="15.75">
      <c r="C105" s="111">
        <v>42032</v>
      </c>
      <c r="D105" s="34">
        <v>2838.1</v>
      </c>
      <c r="G105" s="273" t="s">
        <v>155</v>
      </c>
      <c r="H105" s="273"/>
      <c r="I105" s="103">
        <f>'січень '!I140</f>
        <v>0</v>
      </c>
      <c r="J105" s="281" t="s">
        <v>162</v>
      </c>
      <c r="K105" s="281"/>
      <c r="L105" s="281"/>
      <c r="M105" s="281"/>
      <c r="N105" s="236"/>
      <c r="O105" s="236"/>
    </row>
    <row r="106" spans="7:13" ht="15.75" customHeight="1">
      <c r="G106" s="265" t="s">
        <v>148</v>
      </c>
      <c r="H106" s="265"/>
      <c r="I106" s="103">
        <f>'січень '!I141</f>
        <v>0</v>
      </c>
      <c r="J106" s="278" t="s">
        <v>163</v>
      </c>
      <c r="K106" s="278"/>
      <c r="L106" s="278"/>
      <c r="M106" s="278"/>
    </row>
    <row r="107" spans="2:13" ht="18.75" customHeight="1">
      <c r="B107" s="232" t="s">
        <v>160</v>
      </c>
      <c r="C107" s="233"/>
      <c r="D107" s="108">
        <f>'січень '!D142</f>
        <v>132375.63</v>
      </c>
      <c r="E107" s="73"/>
      <c r="F107" s="156" t="s">
        <v>147</v>
      </c>
      <c r="G107" s="265" t="s">
        <v>149</v>
      </c>
      <c r="H107" s="265"/>
      <c r="I107" s="107">
        <f>'січень '!I142</f>
        <v>123465.893</v>
      </c>
      <c r="J107" s="278" t="s">
        <v>164</v>
      </c>
      <c r="K107" s="278"/>
      <c r="L107" s="278"/>
      <c r="M107" s="278"/>
    </row>
    <row r="108" spans="7:12" ht="9.75" customHeight="1">
      <c r="G108" s="228"/>
      <c r="H108" s="228"/>
      <c r="I108" s="90"/>
      <c r="J108" s="91"/>
      <c r="K108" s="91"/>
      <c r="L108" s="91"/>
    </row>
    <row r="109" spans="2:12" ht="22.5" customHeight="1" hidden="1">
      <c r="B109" s="229" t="s">
        <v>167</v>
      </c>
      <c r="C109" s="230"/>
      <c r="D109" s="110">
        <v>0</v>
      </c>
      <c r="E109" s="70" t="s">
        <v>104</v>
      </c>
      <c r="G109" s="228"/>
      <c r="H109" s="228"/>
      <c r="I109" s="90"/>
      <c r="J109" s="91"/>
      <c r="K109" s="91"/>
      <c r="L109" s="91"/>
    </row>
    <row r="110" spans="4:15" ht="15.75">
      <c r="D110" s="105"/>
      <c r="N110" s="228"/>
      <c r="O110" s="228"/>
    </row>
    <row r="111" spans="4:15" ht="15.75">
      <c r="D111" s="104"/>
      <c r="I111" s="34"/>
      <c r="N111" s="231"/>
      <c r="O111" s="231"/>
    </row>
    <row r="112" spans="14:15" ht="15.75">
      <c r="N112" s="228"/>
      <c r="O112" s="228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2015-09-07T12:59:34Z</cp:lastPrinted>
  <dcterms:created xsi:type="dcterms:W3CDTF">2003-07-28T11:27:56Z</dcterms:created>
  <dcterms:modified xsi:type="dcterms:W3CDTF">2015-09-07T13:11:27Z</dcterms:modified>
  <cp:category/>
  <cp:version/>
  <cp:contentType/>
  <cp:contentStatus/>
</cp:coreProperties>
</file>